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760" windowHeight="9090"/>
  </bookViews>
  <sheets>
    <sheet name="UCaaS Comparison Model"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D23" i="1"/>
  <c r="O53" i="1" l="1"/>
  <c r="P53" i="1" s="1"/>
  <c r="I53" i="1"/>
  <c r="J53" i="1" s="1"/>
  <c r="D43" i="1"/>
  <c r="E43" i="1" s="1"/>
  <c r="D18" i="1"/>
  <c r="E18" i="1" s="1"/>
  <c r="Q58" i="1"/>
  <c r="K58" i="1"/>
  <c r="J62" i="1"/>
  <c r="K62" i="1" s="1"/>
  <c r="J61" i="1"/>
  <c r="K61" i="1" s="1"/>
  <c r="J60" i="1"/>
  <c r="K60" i="1" s="1"/>
  <c r="J36" i="1"/>
  <c r="J37" i="1"/>
  <c r="J48" i="1"/>
  <c r="K48" i="1" s="1"/>
  <c r="K33" i="1"/>
  <c r="K47" i="1" s="1"/>
  <c r="J23" i="1"/>
  <c r="K23" i="1" s="1"/>
  <c r="E23" i="1"/>
  <c r="J25" i="1"/>
  <c r="J24" i="1"/>
  <c r="D25" i="1"/>
  <c r="E25" i="1" s="1"/>
  <c r="D24" i="1"/>
  <c r="E24" i="1" s="1"/>
  <c r="K22" i="1"/>
  <c r="K21" i="1"/>
  <c r="E46" i="1"/>
  <c r="D46" i="1"/>
  <c r="E38" i="1"/>
  <c r="E48" i="1"/>
  <c r="E45" i="1"/>
  <c r="E47" i="1" s="1"/>
  <c r="E39" i="1"/>
  <c r="E36" i="1"/>
  <c r="E35" i="1"/>
  <c r="E34" i="1"/>
  <c r="E32" i="1"/>
  <c r="E31" i="1"/>
  <c r="E30" i="1"/>
  <c r="E22" i="1"/>
  <c r="E21" i="1"/>
  <c r="K49" i="1" l="1"/>
  <c r="K25" i="1"/>
  <c r="K44" i="1"/>
  <c r="K45" i="1"/>
  <c r="K63" i="1"/>
  <c r="K65" i="1" s="1"/>
  <c r="Q63" i="1"/>
  <c r="Q65" i="1" s="1"/>
  <c r="E49" i="1"/>
  <c r="O5" i="1" s="1"/>
  <c r="E40" i="1"/>
  <c r="K24" i="1"/>
  <c r="E26" i="1"/>
  <c r="H5" i="1" l="1"/>
  <c r="H7" i="1" s="1"/>
  <c r="K26" i="1"/>
  <c r="K5" i="1" s="1"/>
  <c r="K6" i="1" s="1"/>
  <c r="H6" i="1" l="1"/>
  <c r="L6" i="1" s="1"/>
  <c r="O7" i="1"/>
  <c r="P7" i="1" s="1"/>
  <c r="P5" i="1"/>
  <c r="K7" i="1"/>
  <c r="L7" i="1" s="1"/>
  <c r="L5" i="1"/>
  <c r="O6" i="1"/>
  <c r="P6" i="1" l="1"/>
</calcChain>
</file>

<file path=xl/comments1.xml><?xml version="1.0" encoding="utf-8"?>
<comments xmlns="http://schemas.openxmlformats.org/spreadsheetml/2006/main">
  <authors>
    <author>Marty Parker</author>
  </authors>
  <commentList>
    <comment ref="H5" authorId="0">
      <text>
        <r>
          <rPr>
            <b/>
            <sz val="9"/>
            <color indexed="81"/>
            <rFont val="Tahoma"/>
            <family val="2"/>
          </rPr>
          <t>Marty Parker:</t>
        </r>
        <r>
          <rPr>
            <sz val="9"/>
            <color indexed="81"/>
            <rFont val="Tahoma"/>
            <family val="2"/>
          </rPr>
          <t xml:space="preserve">
Sum of included costs from worksheet below. 
</t>
        </r>
      </text>
    </comment>
    <comment ref="K5" authorId="0">
      <text>
        <r>
          <rPr>
            <b/>
            <sz val="9"/>
            <color indexed="81"/>
            <rFont val="Tahoma"/>
            <family val="2"/>
          </rPr>
          <t>Marty Parker:</t>
        </r>
        <r>
          <rPr>
            <sz val="9"/>
            <color indexed="81"/>
            <rFont val="Tahoma"/>
            <family val="2"/>
          </rPr>
          <t xml:space="preserve">
Sum of included costs from worksheet below.</t>
        </r>
      </text>
    </comment>
    <comment ref="O5" authorId="0">
      <text>
        <r>
          <rPr>
            <b/>
            <sz val="9"/>
            <color indexed="81"/>
            <rFont val="Tahoma"/>
            <family val="2"/>
          </rPr>
          <t>Marty Parker:</t>
        </r>
        <r>
          <rPr>
            <sz val="9"/>
            <color indexed="81"/>
            <rFont val="Tahoma"/>
            <family val="2"/>
          </rPr>
          <t xml:space="preserve">
Sum of included costs from worksheet below.</t>
        </r>
      </text>
    </comment>
    <comment ref="H6" authorId="0">
      <text>
        <r>
          <rPr>
            <b/>
            <sz val="9"/>
            <color indexed="81"/>
            <rFont val="Tahoma"/>
            <family val="2"/>
          </rPr>
          <t>Marty Parker:</t>
        </r>
        <r>
          <rPr>
            <sz val="9"/>
            <color indexed="81"/>
            <rFont val="Tahoma"/>
            <family val="2"/>
          </rPr>
          <t xml:space="preserve">
Annual cost divided by total lines and by 12 months. </t>
        </r>
      </text>
    </comment>
    <comment ref="K6" authorId="0">
      <text>
        <r>
          <rPr>
            <b/>
            <sz val="9"/>
            <color indexed="81"/>
            <rFont val="Tahoma"/>
            <family val="2"/>
          </rPr>
          <t>Marty Parker:</t>
        </r>
        <r>
          <rPr>
            <sz val="9"/>
            <color indexed="81"/>
            <rFont val="Tahoma"/>
            <family val="2"/>
          </rPr>
          <t xml:space="preserve">
Annual cost divided by total lines and by 12 months. </t>
        </r>
      </text>
    </comment>
    <comment ref="O6" authorId="0">
      <text>
        <r>
          <rPr>
            <b/>
            <sz val="9"/>
            <color indexed="81"/>
            <rFont val="Tahoma"/>
            <family val="2"/>
          </rPr>
          <t>Marty Parker:</t>
        </r>
        <r>
          <rPr>
            <sz val="9"/>
            <color indexed="81"/>
            <rFont val="Tahoma"/>
            <family val="2"/>
          </rPr>
          <t xml:space="preserve">
Annual cost divided by total lines and by 12 months. </t>
        </r>
      </text>
    </comment>
    <comment ref="H7" authorId="0">
      <text>
        <r>
          <rPr>
            <b/>
            <sz val="9"/>
            <color indexed="81"/>
            <rFont val="Tahoma"/>
            <family val="2"/>
          </rPr>
          <t>Marty Parker:</t>
        </r>
        <r>
          <rPr>
            <sz val="9"/>
            <color indexed="81"/>
            <rFont val="Tahoma"/>
            <family val="2"/>
          </rPr>
          <t xml:space="preserve">
Annual cost times 5</t>
        </r>
      </text>
    </comment>
    <comment ref="K7" authorId="0">
      <text>
        <r>
          <rPr>
            <b/>
            <sz val="9"/>
            <color indexed="81"/>
            <rFont val="Tahoma"/>
            <family val="2"/>
          </rPr>
          <t>Marty Parker:</t>
        </r>
        <r>
          <rPr>
            <sz val="9"/>
            <color indexed="81"/>
            <rFont val="Tahoma"/>
            <family val="2"/>
          </rPr>
          <t xml:space="preserve">
Annual cost times 5</t>
        </r>
      </text>
    </comment>
    <comment ref="O7" authorId="0">
      <text>
        <r>
          <rPr>
            <b/>
            <sz val="9"/>
            <color indexed="81"/>
            <rFont val="Tahoma"/>
            <family val="2"/>
          </rPr>
          <t>Marty Parker:</t>
        </r>
        <r>
          <rPr>
            <sz val="9"/>
            <color indexed="81"/>
            <rFont val="Tahoma"/>
            <family val="2"/>
          </rPr>
          <t xml:space="preserve">
Annual cost times 5</t>
        </r>
      </text>
    </comment>
    <comment ref="D11" authorId="0">
      <text>
        <r>
          <rPr>
            <b/>
            <sz val="9"/>
            <color indexed="81"/>
            <rFont val="Tahoma"/>
            <family val="2"/>
          </rPr>
          <t>Marty Parker:</t>
        </r>
        <r>
          <rPr>
            <sz val="9"/>
            <color indexed="81"/>
            <rFont val="Tahoma"/>
            <family val="2"/>
          </rPr>
          <t xml:space="preserve">
Users requiring advanced licenses for collaboration functions, meetings, mobility. </t>
        </r>
      </text>
    </comment>
    <comment ref="D12" authorId="0">
      <text>
        <r>
          <rPr>
            <b/>
            <sz val="9"/>
            <color indexed="81"/>
            <rFont val="Tahoma"/>
            <family val="2"/>
          </rPr>
          <t>Marty Parker:</t>
        </r>
        <r>
          <rPr>
            <sz val="9"/>
            <color indexed="81"/>
            <rFont val="Tahoma"/>
            <family val="2"/>
          </rPr>
          <t xml:space="preserve">
Users with basic telephony needs at desk, either phone or soft client, perhaps integrated with their operational applications. </t>
        </r>
      </text>
    </comment>
    <comment ref="D13" authorId="0">
      <text>
        <r>
          <rPr>
            <b/>
            <sz val="9"/>
            <color indexed="81"/>
            <rFont val="Tahoma"/>
            <family val="2"/>
          </rPr>
          <t>Marty Parker:</t>
        </r>
        <r>
          <rPr>
            <sz val="9"/>
            <color indexed="81"/>
            <rFont val="Tahoma"/>
            <family val="2"/>
          </rPr>
          <t xml:space="preserve">
Non-user phones or devices: halls, break rooms, conference rooms, alarms, monitors, etc.</t>
        </r>
      </text>
    </comment>
    <comment ref="D18" authorId="0">
      <text>
        <r>
          <rPr>
            <b/>
            <sz val="9"/>
            <color indexed="81"/>
            <rFont val="Tahoma"/>
            <family val="2"/>
          </rPr>
          <t>Marty Parker:</t>
        </r>
        <r>
          <rPr>
            <sz val="9"/>
            <color indexed="81"/>
            <rFont val="Tahoma"/>
            <family val="2"/>
          </rPr>
          <t xml:space="preserve">
From cell E4.  Adjust there, not here.</t>
        </r>
      </text>
    </comment>
    <comment ref="E20" authorId="0">
      <text>
        <r>
          <rPr>
            <b/>
            <sz val="9"/>
            <color indexed="81"/>
            <rFont val="Tahoma"/>
            <family val="2"/>
          </rPr>
          <t>Marty Parker:</t>
        </r>
        <r>
          <rPr>
            <sz val="9"/>
            <color indexed="81"/>
            <rFont val="Tahoma"/>
            <family val="2"/>
          </rPr>
          <t xml:space="preserve">
Annual rate per FTE is included in the formulas below.  You can adjust there. </t>
        </r>
      </text>
    </comment>
    <comment ref="G20" authorId="0">
      <text>
        <r>
          <rPr>
            <b/>
            <sz val="9"/>
            <color indexed="81"/>
            <rFont val="Tahoma"/>
            <family val="2"/>
          </rPr>
          <t>Marty Parker:</t>
        </r>
        <r>
          <rPr>
            <sz val="9"/>
            <color indexed="81"/>
            <rFont val="Tahoma"/>
            <family val="2"/>
          </rPr>
          <t xml:space="preserve">
Comments, logic and formulas are same as for current staff costs.  Ratios are adjusted based on the sevices offered by the UCaaS provider. </t>
        </r>
      </text>
    </comment>
    <comment ref="K20" authorId="0">
      <text>
        <r>
          <rPr>
            <b/>
            <sz val="9"/>
            <color indexed="81"/>
            <rFont val="Tahoma"/>
            <family val="2"/>
          </rPr>
          <t>Marty Parker:</t>
        </r>
        <r>
          <rPr>
            <sz val="9"/>
            <color indexed="81"/>
            <rFont val="Tahoma"/>
            <family val="2"/>
          </rPr>
          <t xml:space="preserve">
Annual rate per FTE is included in the formulas below.  You can adjust there. </t>
        </r>
      </text>
    </comment>
    <comment ref="M20" authorId="0">
      <text>
        <r>
          <rPr>
            <b/>
            <sz val="9"/>
            <color indexed="81"/>
            <rFont val="Tahoma"/>
            <family val="2"/>
          </rPr>
          <t>Marty Parker:</t>
        </r>
        <r>
          <rPr>
            <sz val="9"/>
            <color indexed="81"/>
            <rFont val="Tahoma"/>
            <family val="2"/>
          </rPr>
          <t xml:space="preserve">
This model assumes the on-premises staffing will be the same as for the current state. </t>
        </r>
      </text>
    </comment>
    <comment ref="D21" authorId="0">
      <text>
        <r>
          <rPr>
            <b/>
            <sz val="9"/>
            <color indexed="81"/>
            <rFont val="Tahoma"/>
            <family val="2"/>
          </rPr>
          <t>Marty Parker:</t>
        </r>
        <r>
          <rPr>
            <sz val="9"/>
            <color indexed="81"/>
            <rFont val="Tahoma"/>
            <family val="2"/>
          </rPr>
          <t xml:space="preserve">
Set to one (1).  Can adjust as needed. </t>
        </r>
      </text>
    </comment>
    <comment ref="D22" authorId="0">
      <text>
        <r>
          <rPr>
            <b/>
            <sz val="9"/>
            <color indexed="81"/>
            <rFont val="Tahoma"/>
            <family val="2"/>
          </rPr>
          <t>Marty Parker:</t>
        </r>
        <r>
          <rPr>
            <sz val="9"/>
            <color indexed="81"/>
            <rFont val="Tahoma"/>
            <family val="2"/>
          </rPr>
          <t xml:space="preserve">
Set to one (1).  Can adjust as needed. </t>
        </r>
      </text>
    </comment>
    <comment ref="A23" authorId="0">
      <text>
        <r>
          <rPr>
            <b/>
            <sz val="9"/>
            <color indexed="81"/>
            <rFont val="Tahoma"/>
            <family val="2"/>
          </rPr>
          <t>Marty Parker:</t>
        </r>
        <r>
          <rPr>
            <sz val="9"/>
            <color indexed="81"/>
            <rFont val="Tahoma"/>
            <family val="2"/>
          </rPr>
          <t xml:space="preserve">
Ratio of total lines to Desktop and MAC staff.</t>
        </r>
      </text>
    </comment>
    <comment ref="D23" authorId="0">
      <text>
        <r>
          <rPr>
            <b/>
            <sz val="9"/>
            <color indexed="81"/>
            <rFont val="Tahoma"/>
            <family val="2"/>
          </rPr>
          <t>Marty Parker:</t>
        </r>
        <r>
          <rPr>
            <sz val="9"/>
            <color indexed="81"/>
            <rFont val="Tahoma"/>
            <family val="2"/>
          </rPr>
          <t xml:space="preserve">
Calculation</t>
        </r>
      </text>
    </comment>
    <comment ref="G23" authorId="0">
      <text>
        <r>
          <rPr>
            <b/>
            <sz val="9"/>
            <color indexed="81"/>
            <rFont val="Tahoma"/>
            <family val="2"/>
          </rPr>
          <t>Marty Parker:</t>
        </r>
        <r>
          <rPr>
            <sz val="9"/>
            <color indexed="81"/>
            <rFont val="Tahoma"/>
            <family val="2"/>
          </rPr>
          <t xml:space="preserve">
Ratio of total lines to Desktop and MAC staff.</t>
        </r>
      </text>
    </comment>
    <comment ref="A24" authorId="0">
      <text>
        <r>
          <rPr>
            <b/>
            <sz val="9"/>
            <color indexed="81"/>
            <rFont val="Tahoma"/>
            <family val="2"/>
          </rPr>
          <t>Marty Parker:</t>
        </r>
        <r>
          <rPr>
            <sz val="9"/>
            <color indexed="81"/>
            <rFont val="Tahoma"/>
            <family val="2"/>
          </rPr>
          <t xml:space="preserve">
Ratio of users (Collab and Operational) per Help Desk FTE.  </t>
        </r>
      </text>
    </comment>
    <comment ref="D24" authorId="0">
      <text>
        <r>
          <rPr>
            <b/>
            <sz val="9"/>
            <color indexed="81"/>
            <rFont val="Tahoma"/>
            <family val="2"/>
          </rPr>
          <t>Marty Parker:</t>
        </r>
        <r>
          <rPr>
            <sz val="9"/>
            <color indexed="81"/>
            <rFont val="Tahoma"/>
            <family val="2"/>
          </rPr>
          <t xml:space="preserve">
Calculation</t>
        </r>
      </text>
    </comment>
    <comment ref="G24" authorId="0">
      <text>
        <r>
          <rPr>
            <b/>
            <sz val="9"/>
            <color indexed="81"/>
            <rFont val="Tahoma"/>
            <family val="2"/>
          </rPr>
          <t>Marty Parker:</t>
        </r>
        <r>
          <rPr>
            <sz val="9"/>
            <color indexed="81"/>
            <rFont val="Tahoma"/>
            <family val="2"/>
          </rPr>
          <t xml:space="preserve">
Ratio of users (Collab and Operational) per Help Desk FTE.  </t>
        </r>
      </text>
    </comment>
    <comment ref="A25" authorId="0">
      <text>
        <r>
          <rPr>
            <b/>
            <sz val="9"/>
            <color indexed="81"/>
            <rFont val="Tahoma"/>
            <family val="2"/>
          </rPr>
          <t>Marty Parker:</t>
        </r>
        <r>
          <rPr>
            <sz val="9"/>
            <color indexed="81"/>
            <rFont val="Tahoma"/>
            <family val="2"/>
          </rPr>
          <t xml:space="preserve">
Ratio of total lines to Desktop and MAC staff.</t>
        </r>
      </text>
    </comment>
    <comment ref="D25" authorId="0">
      <text>
        <r>
          <rPr>
            <b/>
            <sz val="9"/>
            <color indexed="81"/>
            <rFont val="Tahoma"/>
            <family val="2"/>
          </rPr>
          <t>Marty Parker:</t>
        </r>
        <r>
          <rPr>
            <sz val="9"/>
            <color indexed="81"/>
            <rFont val="Tahoma"/>
            <family val="2"/>
          </rPr>
          <t xml:space="preserve">
Calculation</t>
        </r>
      </text>
    </comment>
    <comment ref="G25" authorId="0">
      <text>
        <r>
          <rPr>
            <b/>
            <sz val="9"/>
            <color indexed="81"/>
            <rFont val="Tahoma"/>
            <family val="2"/>
          </rPr>
          <t>Marty Parker:</t>
        </r>
        <r>
          <rPr>
            <sz val="9"/>
            <color indexed="81"/>
            <rFont val="Tahoma"/>
            <family val="2"/>
          </rPr>
          <t xml:space="preserve">
Ratio of total lines to Desktop and MAC staff.</t>
        </r>
      </text>
    </comment>
    <comment ref="D28" authorId="0">
      <text>
        <r>
          <rPr>
            <b/>
            <sz val="9"/>
            <color indexed="81"/>
            <rFont val="Tahoma"/>
            <family val="2"/>
          </rPr>
          <t>Marty Parker:</t>
        </r>
        <r>
          <rPr>
            <sz val="9"/>
            <color indexed="81"/>
            <rFont val="Tahoma"/>
            <family val="2"/>
          </rPr>
          <t xml:space="preserve">
Enter the maintenance net rates per year for various user types (per user) and for system components (in total for the system).  Other section can be used for adjustments. </t>
        </r>
      </text>
    </comment>
    <comment ref="M28" authorId="0">
      <text>
        <r>
          <rPr>
            <b/>
            <sz val="9"/>
            <color indexed="81"/>
            <rFont val="Tahoma"/>
            <family val="2"/>
          </rPr>
          <t>Marty Parker:</t>
        </r>
        <r>
          <rPr>
            <sz val="9"/>
            <color indexed="81"/>
            <rFont val="Tahoma"/>
            <family val="2"/>
          </rPr>
          <t xml:space="preserve">
This model assumes the on-premises staffing will be essentially the same as for the current state. </t>
        </r>
      </text>
    </comment>
    <comment ref="J29" authorId="0">
      <text>
        <r>
          <rPr>
            <b/>
            <sz val="9"/>
            <color indexed="81"/>
            <rFont val="Tahoma"/>
            <family val="2"/>
          </rPr>
          <t>Marty Parker:</t>
        </r>
        <r>
          <rPr>
            <sz val="9"/>
            <color indexed="81"/>
            <rFont val="Tahoma"/>
            <family val="2"/>
          </rPr>
          <t xml:space="preserve">
Use the sliders below to adjust the UCaaS vendor's subscription cost quote per user or per line per month. </t>
        </r>
      </text>
    </comment>
    <comment ref="K33" authorId="0">
      <text>
        <r>
          <rPr>
            <b/>
            <sz val="9"/>
            <color indexed="81"/>
            <rFont val="Tahoma"/>
            <family val="2"/>
          </rPr>
          <t>Marty Parker:</t>
        </r>
        <r>
          <rPr>
            <sz val="9"/>
            <color indexed="81"/>
            <rFont val="Tahoma"/>
            <family val="2"/>
          </rPr>
          <t xml:space="preserve">
Rates in cells above multiplied by the user or line count in cells D10, D11 and D12. </t>
        </r>
      </text>
    </comment>
    <comment ref="I35" authorId="0">
      <text>
        <r>
          <rPr>
            <b/>
            <sz val="9"/>
            <color indexed="81"/>
            <rFont val="Tahoma"/>
            <family val="2"/>
          </rPr>
          <t>Marty Parker:</t>
        </r>
        <r>
          <rPr>
            <sz val="9"/>
            <color indexed="81"/>
            <rFont val="Tahoma"/>
            <family val="2"/>
          </rPr>
          <t xml:space="preserve">
Use the three entries below to indicate what services are included in the UCaaS quotes above. </t>
        </r>
      </text>
    </comment>
    <comment ref="I36" authorId="0">
      <text>
        <r>
          <rPr>
            <b/>
            <sz val="9"/>
            <color indexed="81"/>
            <rFont val="Tahoma"/>
            <family val="2"/>
          </rPr>
          <t>Marty Parker:</t>
        </r>
        <r>
          <rPr>
            <sz val="9"/>
            <color indexed="81"/>
            <rFont val="Tahoma"/>
            <family val="2"/>
          </rPr>
          <t xml:space="preserve">
If Yes, then model uses UCaaS Help Desk cost from K23; if not, uses current staff levels from E23. </t>
        </r>
      </text>
    </comment>
    <comment ref="I37" authorId="0">
      <text>
        <r>
          <rPr>
            <b/>
            <sz val="9"/>
            <color indexed="81"/>
            <rFont val="Tahoma"/>
            <family val="2"/>
          </rPr>
          <t>Marty Parker:</t>
        </r>
        <r>
          <rPr>
            <sz val="9"/>
            <color indexed="81"/>
            <rFont val="Tahoma"/>
            <family val="2"/>
          </rPr>
          <t xml:space="preserve">
If Yes, then model uses UCaaS Help Desk cost from K24; if not, uses current staff levels from E24. </t>
        </r>
      </text>
    </comment>
    <comment ref="M42" authorId="0">
      <text>
        <r>
          <rPr>
            <b/>
            <sz val="9"/>
            <color indexed="81"/>
            <rFont val="Tahoma"/>
            <family val="2"/>
          </rPr>
          <t>Marty Parker:</t>
        </r>
        <r>
          <rPr>
            <sz val="9"/>
            <color indexed="81"/>
            <rFont val="Tahoma"/>
            <family val="2"/>
          </rPr>
          <t xml:space="preserve">
This model assumes the on-premises staffing will be essentially the same as for the current state. </t>
        </r>
      </text>
    </comment>
    <comment ref="D43" authorId="0">
      <text>
        <r>
          <rPr>
            <b/>
            <sz val="9"/>
            <color indexed="81"/>
            <rFont val="Tahoma"/>
            <family val="2"/>
          </rPr>
          <t>Marty Parker:</t>
        </r>
        <r>
          <rPr>
            <sz val="9"/>
            <color indexed="81"/>
            <rFont val="Tahoma"/>
            <family val="2"/>
          </rPr>
          <t xml:space="preserve">
From cell E5.  Adjust there, not here.</t>
        </r>
      </text>
    </comment>
    <comment ref="J43" authorId="0">
      <text>
        <r>
          <rPr>
            <b/>
            <sz val="9"/>
            <color indexed="81"/>
            <rFont val="Tahoma"/>
            <family val="2"/>
          </rPr>
          <t>Marty Parker:</t>
        </r>
        <r>
          <rPr>
            <sz val="9"/>
            <color indexed="81"/>
            <rFont val="Tahoma"/>
            <family val="2"/>
          </rPr>
          <t xml:space="preserve">
Make entries below to reflect telecom costs of UCaaS option.</t>
        </r>
      </text>
    </comment>
    <comment ref="E45" authorId="0">
      <text>
        <r>
          <rPr>
            <b/>
            <sz val="9"/>
            <color indexed="81"/>
            <rFont val="Tahoma"/>
            <family val="2"/>
          </rPr>
          <t>Marty Parker:</t>
        </r>
        <r>
          <rPr>
            <sz val="9"/>
            <color indexed="81"/>
            <rFont val="Tahoma"/>
            <family val="2"/>
          </rPr>
          <t xml:space="preserve">
Assumes $25 per trunk per month.  Adjust here in the formula. 
</t>
        </r>
      </text>
    </comment>
    <comment ref="E46" authorId="0">
      <text>
        <r>
          <rPr>
            <b/>
            <sz val="9"/>
            <color indexed="81"/>
            <rFont val="Tahoma"/>
            <family val="2"/>
          </rPr>
          <t>Marty Parker:</t>
        </r>
        <r>
          <rPr>
            <sz val="9"/>
            <color indexed="81"/>
            <rFont val="Tahoma"/>
            <family val="2"/>
          </rPr>
          <t xml:space="preserve">
Assumes busy hour is 15% of total traffic and that traffic is at 80% of capacity in busy hour.  </t>
        </r>
      </text>
    </comment>
    <comment ref="J46" authorId="0">
      <text>
        <r>
          <rPr>
            <b/>
            <sz val="9"/>
            <color indexed="81"/>
            <rFont val="Tahoma"/>
            <family val="2"/>
          </rPr>
          <t>Marty Parker:</t>
        </r>
        <r>
          <rPr>
            <sz val="9"/>
            <color indexed="81"/>
            <rFont val="Tahoma"/>
            <family val="2"/>
          </rPr>
          <t xml:space="preserve">
This determines what percent of the subscription costs from K32 are used as the basis for Telecom taxes, such as USF and state and local comm/sales taxes.
</t>
        </r>
      </text>
    </comment>
    <comment ref="D47" authorId="0">
      <text>
        <r>
          <rPr>
            <b/>
            <sz val="9"/>
            <color indexed="81"/>
            <rFont val="Tahoma"/>
            <family val="2"/>
          </rPr>
          <t>Marty Parker:</t>
        </r>
        <r>
          <rPr>
            <sz val="9"/>
            <color indexed="81"/>
            <rFont val="Tahoma"/>
            <family val="2"/>
          </rPr>
          <t xml:space="preserve">
Very important to know the taxes that will be added per trunk (on-premises) or per user (UCaaS), such as USF and other state or local communication taxes. </t>
        </r>
      </text>
    </comment>
    <comment ref="D48" authorId="0">
      <text>
        <r>
          <rPr>
            <b/>
            <sz val="9"/>
            <color indexed="81"/>
            <rFont val="Tahoma"/>
            <family val="2"/>
          </rPr>
          <t>Marty Parker:</t>
        </r>
        <r>
          <rPr>
            <sz val="9"/>
            <color indexed="81"/>
            <rFont val="Tahoma"/>
            <family val="2"/>
          </rPr>
          <t xml:space="preserve">
Number of trunks plus percent (set to 25% or .25) of on-premises traffic to/from non-PBX locations across WAN.
</t>
        </r>
      </text>
    </comment>
    <comment ref="J48" authorId="0">
      <text>
        <r>
          <rPr>
            <b/>
            <sz val="9"/>
            <color indexed="81"/>
            <rFont val="Tahoma"/>
            <family val="2"/>
          </rPr>
          <t>Marty Parker:</t>
        </r>
        <r>
          <rPr>
            <sz val="9"/>
            <color indexed="81"/>
            <rFont val="Tahoma"/>
            <family val="2"/>
          </rPr>
          <t xml:space="preserve">
Number of trunks plus 2 x percent (set to 25% or .25) of on-premises traffic to/from non-PBX locations across WAN.</t>
        </r>
      </text>
    </comment>
    <comment ref="I53" authorId="0">
      <text>
        <r>
          <rPr>
            <b/>
            <sz val="9"/>
            <color indexed="81"/>
            <rFont val="Tahoma"/>
            <family val="2"/>
          </rPr>
          <t>Marty Parker:</t>
        </r>
        <r>
          <rPr>
            <sz val="9"/>
            <color indexed="81"/>
            <rFont val="Tahoma"/>
            <family val="2"/>
          </rPr>
          <t xml:space="preserve">
Based on entry in cell E7.  Do not adjust here. </t>
        </r>
      </text>
    </comment>
    <comment ref="O53" authorId="0">
      <text>
        <r>
          <rPr>
            <b/>
            <sz val="9"/>
            <color indexed="81"/>
            <rFont val="Tahoma"/>
            <family val="2"/>
          </rPr>
          <t>Marty Parker:</t>
        </r>
        <r>
          <rPr>
            <sz val="9"/>
            <color indexed="81"/>
            <rFont val="Tahoma"/>
            <family val="2"/>
          </rPr>
          <t xml:space="preserve">
Based on entry in cell E7.  Do not adjust here.</t>
        </r>
      </text>
    </comment>
    <comment ref="G54" authorId="0">
      <text>
        <r>
          <rPr>
            <b/>
            <sz val="9"/>
            <color indexed="81"/>
            <rFont val="Tahoma"/>
            <family val="2"/>
          </rPr>
          <t>Marty Parker:</t>
        </r>
        <r>
          <rPr>
            <sz val="9"/>
            <color indexed="81"/>
            <rFont val="Tahoma"/>
            <family val="2"/>
          </rPr>
          <t xml:space="preserve">
This is estimate of conversion costs for UCaaS service from UCaaS vendor PLUS costs for enteprise staff (architect, design security review, network, conversion staff, etc.) per user by user type.</t>
        </r>
      </text>
    </comment>
    <comment ref="M54" authorId="0">
      <text>
        <r>
          <rPr>
            <b/>
            <sz val="9"/>
            <color indexed="81"/>
            <rFont val="Tahoma"/>
            <family val="2"/>
          </rPr>
          <t>Marty Parker:</t>
        </r>
        <r>
          <rPr>
            <sz val="9"/>
            <color indexed="81"/>
            <rFont val="Tahoma"/>
            <family val="2"/>
          </rPr>
          <t xml:space="preserve">
This is estimate of conversion costs for NEW ON-PREMISIS system from vendor PLUS costs for enteprise staff (architect, design security review, network, conversion staff, etc.) per user by user type.</t>
        </r>
      </text>
    </comment>
    <comment ref="K58" authorId="0">
      <text>
        <r>
          <rPr>
            <b/>
            <sz val="9"/>
            <color indexed="81"/>
            <rFont val="Tahoma"/>
            <family val="2"/>
          </rPr>
          <t>Marty Parker:</t>
        </r>
        <r>
          <rPr>
            <sz val="9"/>
            <color indexed="81"/>
            <rFont val="Tahoma"/>
            <family val="2"/>
          </rPr>
          <t xml:space="preserve">
Costs per user in cells above multiplied by the user or line count in cells D10, D11 and D12. </t>
        </r>
      </text>
    </comment>
    <comment ref="G59" authorId="0">
      <text>
        <r>
          <rPr>
            <b/>
            <sz val="9"/>
            <color indexed="81"/>
            <rFont val="Tahoma"/>
            <family val="2"/>
          </rPr>
          <t>Marty Parker:</t>
        </r>
        <r>
          <rPr>
            <sz val="9"/>
            <color indexed="81"/>
            <rFont val="Tahoma"/>
            <family val="2"/>
          </rPr>
          <t xml:space="preserve">
The Yes settings in this section will include a device or adaptor cost for each user or line. 
</t>
        </r>
      </text>
    </comment>
    <comment ref="M59" authorId="0">
      <text>
        <r>
          <rPr>
            <b/>
            <sz val="9"/>
            <color indexed="81"/>
            <rFont val="Tahoma"/>
            <family val="2"/>
          </rPr>
          <t>Marty Parker:</t>
        </r>
        <r>
          <rPr>
            <sz val="9"/>
            <color indexed="81"/>
            <rFont val="Tahoma"/>
            <family val="2"/>
          </rPr>
          <t xml:space="preserve">
These are the net discounted costs per user by user type for the vendor's UC license, headset/phone/adaptor, and a per-user amount for the system equipment (processors, gateways, etc.).  Total should be approximately the vendor's estimate or quote. </t>
        </r>
      </text>
    </comment>
    <comment ref="K60" authorId="0">
      <text>
        <r>
          <rPr>
            <b/>
            <sz val="9"/>
            <color indexed="81"/>
            <rFont val="Tahoma"/>
            <family val="2"/>
          </rPr>
          <t>Marty Parker:</t>
        </r>
        <r>
          <rPr>
            <sz val="9"/>
            <color indexed="81"/>
            <rFont val="Tahoma"/>
            <family val="2"/>
          </rPr>
          <t xml:space="preserve">
Headset or basic deskphone, either with softphone client control. </t>
        </r>
      </text>
    </comment>
    <comment ref="K61" authorId="0">
      <text>
        <r>
          <rPr>
            <b/>
            <sz val="9"/>
            <color indexed="81"/>
            <rFont val="Tahoma"/>
            <family val="2"/>
          </rPr>
          <t>Marty Parker:</t>
        </r>
        <r>
          <rPr>
            <sz val="9"/>
            <color indexed="81"/>
            <rFont val="Tahoma"/>
            <family val="2"/>
          </rPr>
          <t xml:space="preserve">
Multi-line speaker phone for operations, admin, execs.  </t>
        </r>
      </text>
    </comment>
    <comment ref="K62" authorId="0">
      <text>
        <r>
          <rPr>
            <b/>
            <sz val="9"/>
            <color indexed="81"/>
            <rFont val="Tahoma"/>
            <family val="2"/>
          </rPr>
          <t>Marty Parker:</t>
        </r>
        <r>
          <rPr>
            <sz val="9"/>
            <color indexed="81"/>
            <rFont val="Tahoma"/>
            <family val="2"/>
          </rPr>
          <t xml:space="preserve">
Average cost for wall phone or adaptor for analog of similar devices.</t>
        </r>
      </text>
    </comment>
    <comment ref="K66" authorId="0">
      <text>
        <r>
          <rPr>
            <b/>
            <sz val="9"/>
            <color indexed="81"/>
            <rFont val="Tahoma"/>
            <family val="2"/>
          </rPr>
          <t>Marty Parker:</t>
        </r>
        <r>
          <rPr>
            <sz val="9"/>
            <color indexed="81"/>
            <rFont val="Tahoma"/>
            <family val="2"/>
          </rPr>
          <t xml:space="preserve">
Used to determine the annual cost, since this cost can be amortized. </t>
        </r>
      </text>
    </comment>
    <comment ref="Q66" authorId="0">
      <text>
        <r>
          <rPr>
            <b/>
            <sz val="9"/>
            <color indexed="81"/>
            <rFont val="Tahoma"/>
            <family val="2"/>
          </rPr>
          <t>Marty Parker:</t>
        </r>
        <r>
          <rPr>
            <sz val="9"/>
            <color indexed="81"/>
            <rFont val="Tahoma"/>
            <family val="2"/>
          </rPr>
          <t xml:space="preserve">
Used to determine the annual cost, since this cost can be amortized.</t>
        </r>
      </text>
    </comment>
  </commentList>
</comments>
</file>

<file path=xl/sharedStrings.xml><?xml version="1.0" encoding="utf-8"?>
<sst xmlns="http://schemas.openxmlformats.org/spreadsheetml/2006/main" count="133" uniqueCount="77">
  <si>
    <t>UCaaS vs. On-Premises UC Cost Comparison Estimator</t>
  </si>
  <si>
    <t>Current Costs</t>
  </si>
  <si>
    <t>UCaaS Costs</t>
  </si>
  <si>
    <t>On-Premises Replacement Costs</t>
  </si>
  <si>
    <t>Current Staff Costs</t>
  </si>
  <si>
    <t>Supervisor</t>
  </si>
  <si>
    <t>Number of Employees and/or Lines Estimated</t>
  </si>
  <si>
    <t>Collaboration Employees</t>
  </si>
  <si>
    <t>Operations Employees</t>
  </si>
  <si>
    <t>Generic Phones/Devices</t>
  </si>
  <si>
    <t>Include Operational Staff?</t>
  </si>
  <si>
    <t>Help Desk Staff</t>
  </si>
  <si>
    <t xml:space="preserve">Total $/Yr. </t>
  </si>
  <si>
    <t>Desk Support/MAC</t>
  </si>
  <si>
    <t>Current Maintenance Contract Costs</t>
  </si>
  <si>
    <t>Collaboration</t>
  </si>
  <si>
    <t>Operations</t>
  </si>
  <si>
    <t>Generic</t>
  </si>
  <si>
    <t>Annual Costs for System</t>
  </si>
  <si>
    <t xml:space="preserve">Other </t>
  </si>
  <si>
    <t>System Technicians</t>
  </si>
  <si>
    <t>Lead/Architect</t>
  </si>
  <si>
    <t>Total</t>
  </si>
  <si>
    <t>Yes or No</t>
  </si>
  <si>
    <t>Yes</t>
  </si>
  <si>
    <t>No</t>
  </si>
  <si>
    <t>Annual Costs per License Type (see above)</t>
  </si>
  <si>
    <t>All Processors</t>
  </si>
  <si>
    <t>All Gateways</t>
  </si>
  <si>
    <t>All Others</t>
  </si>
  <si>
    <t>Any Other Costs</t>
  </si>
  <si>
    <t>Current Telecom Services Costs</t>
  </si>
  <si>
    <t>Total Trunks</t>
  </si>
  <si>
    <t>WAN Bandwidth Mbps</t>
  </si>
  <si>
    <t>Annual</t>
  </si>
  <si>
    <t>5-Year</t>
  </si>
  <si>
    <t>Per User/Mo</t>
  </si>
  <si>
    <t>Per User/Mo.</t>
  </si>
  <si>
    <t>Include Telecom Costs</t>
  </si>
  <si>
    <t>New Staff Costs</t>
  </si>
  <si>
    <t>Telecom Taxes: Rate</t>
  </si>
  <si>
    <t>Annual UCaaS Subscription Costs</t>
  </si>
  <si>
    <t>Help Desk Included</t>
  </si>
  <si>
    <t>On-Prem MAC Included</t>
  </si>
  <si>
    <t>Total Per Year</t>
  </si>
  <si>
    <t>Unlimited toll minutes Incl</t>
  </si>
  <si>
    <t>% of Subscription for Tax</t>
  </si>
  <si>
    <t>Trunks Included in UCaaS</t>
  </si>
  <si>
    <t>Conversion Cost per User</t>
  </si>
  <si>
    <t>Phone or Headset</t>
  </si>
  <si>
    <t>Conversion Total</t>
  </si>
  <si>
    <t>Include Conversion Costs</t>
  </si>
  <si>
    <t>Amortize over # Years:</t>
  </si>
  <si>
    <t>Estimate for</t>
  </si>
  <si>
    <t>Current</t>
  </si>
  <si>
    <t>UCaaS</t>
  </si>
  <si>
    <t>On-Premise Replacement</t>
  </si>
  <si>
    <t>Same as Current</t>
  </si>
  <si>
    <t xml:space="preserve">Licenses, Phones, Equipment </t>
  </si>
  <si>
    <t>Include:</t>
  </si>
  <si>
    <t>Staff Cost Estimates</t>
  </si>
  <si>
    <t>Telcom Carrier Cost Estimates</t>
  </si>
  <si>
    <t>% vs. Curent</t>
  </si>
  <si>
    <t>Enter Current and Estimated Data and Costs to See Comparison</t>
  </si>
  <si>
    <t>Ann. Parts/Adds per Line</t>
  </si>
  <si>
    <t>Number (FTEs)</t>
  </si>
  <si>
    <t>Tolls (enter cost/minute)</t>
  </si>
  <si>
    <t>Per User or System</t>
  </si>
  <si>
    <t>© 2018 M Parker, UniComm Consulting LLC</t>
  </si>
  <si>
    <t xml:space="preserve">The estimated amounts and formulae of this model are best estimates based on industry experience of the author.  No warranties are expressed or implied as to the accuracy for any specific situation. </t>
  </si>
  <si>
    <t xml:space="preserve">Feedback or consultation regarding this model is available from Marty Parker, UniComm Consulting: mparker@unicommconsulting.com or 1-408-420-5539.  </t>
  </si>
  <si>
    <t>See notes in rows 70, 71, and 72 regarding content of this worksheet.</t>
  </si>
  <si>
    <t xml:space="preserve">The worksheet is protected to prevent accidental changes, but password is blank.  Editable cells have Protect unchecked on Format Cell - Protection tab. To edit other cells, click on Review, then Unprotect Sheet.  To reprotect, click Review, then Protect Sheet.  </t>
  </si>
  <si>
    <t>Conversion Cost Estimates</t>
  </si>
  <si>
    <t>(User Ratios)</t>
  </si>
  <si>
    <t>mparker@unicommconsulting.com</t>
  </si>
  <si>
    <t>+1-408-420-5539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</si>
</sst>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_(&quot;$&quot;* #,##0.000_);_(&quot;$&quot;* \(#,##0.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tint="-4.9989318521683403E-2"/>
      <name val="Calibri"/>
      <family val="2"/>
      <scheme val="minor"/>
    </font>
    <font>
      <sz val="9"/>
      <color indexed="81"/>
      <name val="Tahoma"/>
      <family val="2"/>
    </font>
    <font>
      <b/>
      <sz val="9"/>
      <color indexed="81"/>
      <name val="Tahoma"/>
      <family val="2"/>
    </font>
    <font>
      <b/>
      <i/>
      <sz val="11"/>
      <color theme="1"/>
      <name val="Calibri"/>
      <family val="2"/>
      <scheme val="minor"/>
    </font>
    <font>
      <sz val="10"/>
      <color theme="0" tint="-0.249977111117893"/>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0C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82">
    <xf numFmtId="0" fontId="0" fillId="0" borderId="0" xfId="0"/>
    <xf numFmtId="0" fontId="2" fillId="0" borderId="0" xfId="0" applyFont="1"/>
    <xf numFmtId="0" fontId="0" fillId="0" borderId="0" xfId="0" applyAlignment="1">
      <alignment horizontal="right"/>
    </xf>
    <xf numFmtId="164" fontId="0" fillId="0" borderId="0" xfId="1" applyNumberFormat="1" applyFont="1"/>
    <xf numFmtId="164" fontId="0" fillId="0" borderId="0" xfId="0" applyNumberFormat="1"/>
    <xf numFmtId="164" fontId="2" fillId="0" borderId="0" xfId="1" applyNumberFormat="1" applyFont="1"/>
    <xf numFmtId="44" fontId="2" fillId="0" borderId="0" xfId="0" applyNumberFormat="1" applyFont="1"/>
    <xf numFmtId="164" fontId="2" fillId="0" borderId="0" xfId="0" applyNumberFormat="1" applyFont="1"/>
    <xf numFmtId="0" fontId="2" fillId="0" borderId="0" xfId="0" applyFont="1" applyAlignment="1">
      <alignment horizontal="center"/>
    </xf>
    <xf numFmtId="0" fontId="2" fillId="0" borderId="0" xfId="0" applyFont="1" applyAlignment="1">
      <alignment horizontal="right"/>
    </xf>
    <xf numFmtId="9" fontId="0" fillId="0" borderId="0" xfId="2" applyFont="1" applyAlignment="1">
      <alignment horizontal="center"/>
    </xf>
    <xf numFmtId="0" fontId="0" fillId="0" borderId="1" xfId="0" applyBorder="1" applyAlignment="1" applyProtection="1">
      <alignment horizontal="right"/>
      <protection locked="0"/>
    </xf>
    <xf numFmtId="0" fontId="0" fillId="0" borderId="1" xfId="0" applyBorder="1" applyProtection="1">
      <protection locked="0"/>
    </xf>
    <xf numFmtId="0" fontId="0" fillId="2" borderId="1" xfId="0" applyFill="1" applyBorder="1" applyAlignment="1">
      <alignment horizontal="right"/>
    </xf>
    <xf numFmtId="2" fontId="0" fillId="2" borderId="1" xfId="0" applyNumberFormat="1" applyFill="1" applyBorder="1" applyProtection="1">
      <protection locked="0"/>
    </xf>
    <xf numFmtId="0" fontId="0" fillId="3" borderId="1" xfId="0" applyFill="1" applyBorder="1" applyAlignment="1">
      <alignment horizontal="right"/>
    </xf>
    <xf numFmtId="0" fontId="0" fillId="3" borderId="0" xfId="0" applyFill="1" applyBorder="1" applyAlignment="1">
      <alignment horizontal="right"/>
    </xf>
    <xf numFmtId="0" fontId="2" fillId="3" borderId="2" xfId="0" applyFont="1"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164" fontId="0" fillId="3" borderId="6" xfId="1" applyNumberFormat="1" applyFont="1" applyFill="1" applyBorder="1"/>
    <xf numFmtId="164" fontId="0" fillId="3" borderId="6" xfId="0" applyNumberFormat="1" applyFill="1" applyBorder="1"/>
    <xf numFmtId="0" fontId="3" fillId="3" borderId="0" xfId="0" applyFont="1" applyFill="1" applyBorder="1"/>
    <xf numFmtId="0" fontId="0" fillId="3" borderId="7" xfId="0" applyFill="1" applyBorder="1"/>
    <xf numFmtId="0" fontId="0" fillId="3" borderId="8" xfId="0" applyFill="1" applyBorder="1"/>
    <xf numFmtId="0" fontId="0" fillId="3" borderId="9" xfId="0" applyFill="1" applyBorder="1"/>
    <xf numFmtId="0" fontId="0" fillId="4" borderId="1" xfId="0" applyFill="1" applyBorder="1" applyAlignment="1">
      <alignment horizontal="right"/>
    </xf>
    <xf numFmtId="0" fontId="0" fillId="4" borderId="0" xfId="0" applyFill="1" applyBorder="1" applyAlignment="1">
      <alignment horizontal="right"/>
    </xf>
    <xf numFmtId="0" fontId="2" fillId="2" borderId="2" xfId="0" applyFont="1"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0" xfId="0" applyFill="1" applyBorder="1" applyAlignment="1">
      <alignment horizontal="right"/>
    </xf>
    <xf numFmtId="0" fontId="0" fillId="2" borderId="6" xfId="0" applyFill="1" applyBorder="1"/>
    <xf numFmtId="0" fontId="3" fillId="2" borderId="6" xfId="0" applyFont="1" applyFill="1" applyBorder="1"/>
    <xf numFmtId="0" fontId="0" fillId="2" borderId="6" xfId="0" applyFill="1" applyBorder="1" applyAlignment="1">
      <alignment horizontal="right"/>
    </xf>
    <xf numFmtId="164" fontId="0" fillId="2" borderId="6" xfId="1" applyNumberFormat="1" applyFont="1" applyFill="1" applyBorder="1" applyProtection="1">
      <protection locked="0"/>
    </xf>
    <xf numFmtId="164" fontId="0" fillId="2" borderId="6" xfId="0" applyNumberFormat="1" applyFill="1" applyBorder="1"/>
    <xf numFmtId="6" fontId="0" fillId="2" borderId="6" xfId="0" applyNumberFormat="1" applyFill="1" applyBorder="1"/>
    <xf numFmtId="9" fontId="0" fillId="2" borderId="5" xfId="0" applyNumberFormat="1" applyFill="1" applyBorder="1"/>
    <xf numFmtId="0" fontId="0" fillId="2" borderId="7" xfId="0" applyFill="1" applyBorder="1"/>
    <xf numFmtId="0" fontId="0" fillId="2" borderId="8" xfId="0" applyFill="1" applyBorder="1"/>
    <xf numFmtId="0" fontId="0" fillId="2" borderId="9" xfId="0" applyFill="1" applyBorder="1"/>
    <xf numFmtId="0" fontId="2" fillId="4" borderId="2"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3" fillId="4" borderId="0" xfId="0" applyFont="1" applyFill="1" applyBorder="1"/>
    <xf numFmtId="0" fontId="0" fillId="4" borderId="0" xfId="0" applyFill="1" applyBorder="1" applyProtection="1">
      <protection locked="0"/>
    </xf>
    <xf numFmtId="164" fontId="0" fillId="4" borderId="6" xfId="1" applyNumberFormat="1" applyFont="1" applyFill="1" applyBorder="1" applyProtection="1">
      <protection locked="0"/>
    </xf>
    <xf numFmtId="164" fontId="0" fillId="4" borderId="6" xfId="1" applyNumberFormat="1" applyFont="1" applyFill="1" applyBorder="1"/>
    <xf numFmtId="164" fontId="0" fillId="4" borderId="6" xfId="0" applyNumberFormat="1" applyFill="1" applyBorder="1"/>
    <xf numFmtId="0" fontId="0" fillId="4" borderId="7" xfId="0" applyFill="1" applyBorder="1"/>
    <xf numFmtId="0" fontId="0" fillId="4" borderId="8" xfId="0" applyFill="1" applyBorder="1"/>
    <xf numFmtId="0" fontId="0" fillId="4" borderId="9" xfId="0" applyFill="1" applyBorder="1"/>
    <xf numFmtId="0" fontId="0" fillId="2" borderId="1" xfId="0" applyFill="1" applyBorder="1" applyProtection="1">
      <protection locked="0"/>
    </xf>
    <xf numFmtId="165" fontId="0" fillId="2" borderId="1" xfId="1" applyNumberFormat="1" applyFont="1" applyFill="1" applyBorder="1" applyProtection="1">
      <protection locked="0"/>
    </xf>
    <xf numFmtId="9" fontId="0" fillId="2" borderId="1" xfId="2" applyFont="1" applyFill="1" applyBorder="1" applyProtection="1">
      <protection locked="0"/>
    </xf>
    <xf numFmtId="164" fontId="0" fillId="2" borderId="1" xfId="1" applyNumberFormat="1" applyFont="1" applyFill="1" applyBorder="1" applyProtection="1">
      <protection locked="0"/>
    </xf>
    <xf numFmtId="0" fontId="0" fillId="2" borderId="0" xfId="0" applyFill="1" applyBorder="1" applyProtection="1">
      <protection locked="0"/>
    </xf>
    <xf numFmtId="2" fontId="0" fillId="3" borderId="1" xfId="0" applyNumberFormat="1" applyFill="1" applyBorder="1" applyProtection="1">
      <protection locked="0"/>
    </xf>
    <xf numFmtId="164" fontId="0" fillId="3" borderId="6" xfId="1" applyNumberFormat="1" applyFont="1" applyFill="1" applyBorder="1" applyProtection="1">
      <protection locked="0"/>
    </xf>
    <xf numFmtId="0" fontId="0" fillId="3" borderId="0" xfId="0" applyFill="1" applyBorder="1" applyProtection="1">
      <protection locked="0"/>
    </xf>
    <xf numFmtId="0" fontId="0" fillId="3" borderId="1" xfId="0" applyFill="1" applyBorder="1" applyAlignment="1" applyProtection="1">
      <alignment horizontal="right"/>
      <protection locked="0"/>
    </xf>
    <xf numFmtId="9" fontId="0" fillId="3" borderId="1" xfId="0" applyNumberFormat="1" applyFill="1" applyBorder="1" applyProtection="1">
      <protection locked="0"/>
    </xf>
    <xf numFmtId="0" fontId="0" fillId="3" borderId="6" xfId="0" applyFill="1" applyBorder="1" applyProtection="1">
      <protection locked="0"/>
    </xf>
    <xf numFmtId="164" fontId="0" fillId="3" borderId="6" xfId="0" applyNumberFormat="1" applyFill="1" applyBorder="1" applyProtection="1">
      <protection locked="0"/>
    </xf>
    <xf numFmtId="0" fontId="0" fillId="3" borderId="1" xfId="0" applyFill="1" applyBorder="1" applyProtection="1">
      <protection locked="0"/>
    </xf>
    <xf numFmtId="44" fontId="0" fillId="3" borderId="6" xfId="1" applyFont="1" applyFill="1" applyBorder="1" applyProtection="1">
      <protection locked="0"/>
    </xf>
    <xf numFmtId="0" fontId="0" fillId="4" borderId="6" xfId="0" applyFill="1" applyBorder="1" applyProtection="1">
      <protection locked="0"/>
    </xf>
    <xf numFmtId="0" fontId="6" fillId="0" borderId="0" xfId="0" applyFont="1"/>
    <xf numFmtId="0" fontId="0" fillId="3" borderId="5" xfId="0" applyFill="1" applyBorder="1" applyAlignment="1">
      <alignment horizontal="left"/>
    </xf>
    <xf numFmtId="0" fontId="7" fillId="3" borderId="5" xfId="0" applyFont="1" applyFill="1" applyBorder="1" applyAlignment="1" applyProtection="1">
      <alignment horizontal="left"/>
      <protection locked="0"/>
    </xf>
    <xf numFmtId="0" fontId="7" fillId="2" borderId="5" xfId="0" applyFont="1" applyFill="1" applyBorder="1" applyAlignment="1" applyProtection="1">
      <alignment horizontal="left"/>
      <protection locked="0"/>
    </xf>
    <xf numFmtId="0" fontId="8" fillId="0" borderId="0" xfId="3"/>
    <xf numFmtId="0" fontId="0" fillId="0" borderId="0" xfId="0" quotePrefix="1"/>
  </cellXfs>
  <cellStyles count="4">
    <cellStyle name="Currency" xfId="1" builtinId="4"/>
    <cellStyle name="Hyperlink" xfId="3" builtinId="8"/>
    <cellStyle name="Normal" xfId="0" builtinId="0"/>
    <cellStyle name="Percent" xfId="2"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0C5"/>
      <color rgb="FFFFD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39" fmlaLink="$K$30" horiz="1" inc="0" max="45" page="10" val="20"/>
</file>

<file path=xl/ctrlProps/ctrlProp10.xml><?xml version="1.0" encoding="utf-8"?>
<formControlPr xmlns="http://schemas.microsoft.com/office/spreadsheetml/2009/9/main" objectType="Scroll" dx="39" fmlaLink="$Q$60" horiz="1" inc="0" max="600" page="10" val="450"/>
</file>

<file path=xl/ctrlProps/ctrlProp11.xml><?xml version="1.0" encoding="utf-8"?>
<formControlPr xmlns="http://schemas.microsoft.com/office/spreadsheetml/2009/9/main" objectType="Scroll" dx="39" fmlaLink="$Q$61" horiz="1" inc="0" max="600" page="10" val="400"/>
</file>

<file path=xl/ctrlProps/ctrlProp12.xml><?xml version="1.0" encoding="utf-8"?>
<formControlPr xmlns="http://schemas.microsoft.com/office/spreadsheetml/2009/9/main" objectType="Scroll" dx="39" fmlaLink="$Q$62" horiz="1" inc="0" max="400" page="10" val="200"/>
</file>

<file path=xl/ctrlProps/ctrlProp2.xml><?xml version="1.0" encoding="utf-8"?>
<formControlPr xmlns="http://schemas.microsoft.com/office/spreadsheetml/2009/9/main" objectType="Scroll" dx="39" fmlaLink="$K$31" horiz="1" max="35" page="10" val="15"/>
</file>

<file path=xl/ctrlProps/ctrlProp3.xml><?xml version="1.0" encoding="utf-8"?>
<formControlPr xmlns="http://schemas.microsoft.com/office/spreadsheetml/2009/9/main" objectType="Scroll" dx="39" fmlaLink="$K$32" horiz="1" max="20" page="10" val="8"/>
</file>

<file path=xl/ctrlProps/ctrlProp4.xml><?xml version="1.0" encoding="utf-8"?>
<formControlPr xmlns="http://schemas.microsoft.com/office/spreadsheetml/2009/9/main" objectType="Scroll" dx="39" fmlaLink="$K$55" horiz="1" inc="0" max="200" page="10" val="100"/>
</file>

<file path=xl/ctrlProps/ctrlProp5.xml><?xml version="1.0" encoding="utf-8"?>
<formControlPr xmlns="http://schemas.microsoft.com/office/spreadsheetml/2009/9/main" objectType="Scroll" dx="39" fmlaLink="$K$56" horiz="1" inc="0" max="150" page="10" val="60"/>
</file>

<file path=xl/ctrlProps/ctrlProp6.xml><?xml version="1.0" encoding="utf-8"?>
<formControlPr xmlns="http://schemas.microsoft.com/office/spreadsheetml/2009/9/main" objectType="Scroll" dx="39" fmlaLink="$K$57" horiz="1" inc="0" max="80" page="10" val="40"/>
</file>

<file path=xl/ctrlProps/ctrlProp7.xml><?xml version="1.0" encoding="utf-8"?>
<formControlPr xmlns="http://schemas.microsoft.com/office/spreadsheetml/2009/9/main" objectType="Scroll" dx="39" fmlaLink="$Q$55" horiz="1" inc="0" max="400" page="10" val="300"/>
</file>

<file path=xl/ctrlProps/ctrlProp8.xml><?xml version="1.0" encoding="utf-8"?>
<formControlPr xmlns="http://schemas.microsoft.com/office/spreadsheetml/2009/9/main" objectType="Scroll" dx="39" fmlaLink="$Q$56" horiz="1" inc="0" max="400" page="10" val="200"/>
</file>

<file path=xl/ctrlProps/ctrlProp9.xml><?xml version="1.0" encoding="utf-8"?>
<formControlPr xmlns="http://schemas.microsoft.com/office/spreadsheetml/2009/9/main" objectType="Scroll" dx="39" fmlaLink="$Q$57" horiz="1" inc="0" max="150" page="10" val="9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29</xdr:row>
          <xdr:rowOff>9525</xdr:rowOff>
        </xdr:from>
        <xdr:to>
          <xdr:col>9</xdr:col>
          <xdr:colOff>638175</xdr:colOff>
          <xdr:row>29</xdr:row>
          <xdr:rowOff>180975</xdr:rowOff>
        </xdr:to>
        <xdr:sp macro="" textlink="">
          <xdr:nvSpPr>
            <xdr:cNvPr id="1031" name="Scroll Bar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19050</xdr:rowOff>
        </xdr:from>
        <xdr:to>
          <xdr:col>9</xdr:col>
          <xdr:colOff>666750</xdr:colOff>
          <xdr:row>30</xdr:row>
          <xdr:rowOff>180975</xdr:rowOff>
        </xdr:to>
        <xdr:sp macro="" textlink="">
          <xdr:nvSpPr>
            <xdr:cNvPr id="1032" name="Scroll Bar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19050</xdr:rowOff>
        </xdr:from>
        <xdr:to>
          <xdr:col>9</xdr:col>
          <xdr:colOff>666750</xdr:colOff>
          <xdr:row>31</xdr:row>
          <xdr:rowOff>180975</xdr:rowOff>
        </xdr:to>
        <xdr:sp macro="" textlink="">
          <xdr:nvSpPr>
            <xdr:cNvPr id="1033" name="Scroll Bar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9525</xdr:rowOff>
        </xdr:from>
        <xdr:to>
          <xdr:col>9</xdr:col>
          <xdr:colOff>638175</xdr:colOff>
          <xdr:row>54</xdr:row>
          <xdr:rowOff>180975</xdr:rowOff>
        </xdr:to>
        <xdr:sp macro="" textlink="">
          <xdr:nvSpPr>
            <xdr:cNvPr id="1037" name="Scroll Bar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9525</xdr:rowOff>
        </xdr:from>
        <xdr:to>
          <xdr:col>9</xdr:col>
          <xdr:colOff>638175</xdr:colOff>
          <xdr:row>55</xdr:row>
          <xdr:rowOff>180975</xdr:rowOff>
        </xdr:to>
        <xdr:sp macro="" textlink="">
          <xdr:nvSpPr>
            <xdr:cNvPr id="1038" name="Scroll Bar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9525</xdr:rowOff>
        </xdr:from>
        <xdr:to>
          <xdr:col>9</xdr:col>
          <xdr:colOff>638175</xdr:colOff>
          <xdr:row>56</xdr:row>
          <xdr:rowOff>180975</xdr:rowOff>
        </xdr:to>
        <xdr:sp macro="" textlink="">
          <xdr:nvSpPr>
            <xdr:cNvPr id="1039" name="Scroll Bar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28575</xdr:rowOff>
        </xdr:from>
        <xdr:to>
          <xdr:col>15</xdr:col>
          <xdr:colOff>638175</xdr:colOff>
          <xdr:row>55</xdr:row>
          <xdr:rowOff>19050</xdr:rowOff>
        </xdr:to>
        <xdr:sp macro="" textlink="">
          <xdr:nvSpPr>
            <xdr:cNvPr id="1041" name="Scroll Bar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9525</xdr:rowOff>
        </xdr:from>
        <xdr:to>
          <xdr:col>15</xdr:col>
          <xdr:colOff>638175</xdr:colOff>
          <xdr:row>55</xdr:row>
          <xdr:rowOff>180975</xdr:rowOff>
        </xdr:to>
        <xdr:sp macro="" textlink="">
          <xdr:nvSpPr>
            <xdr:cNvPr id="1042" name="Scroll Bar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9525</xdr:rowOff>
        </xdr:from>
        <xdr:to>
          <xdr:col>15</xdr:col>
          <xdr:colOff>638175</xdr:colOff>
          <xdr:row>56</xdr:row>
          <xdr:rowOff>180975</xdr:rowOff>
        </xdr:to>
        <xdr:sp macro="" textlink="">
          <xdr:nvSpPr>
            <xdr:cNvPr id="1043" name="Scroll Bar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9525</xdr:rowOff>
        </xdr:from>
        <xdr:to>
          <xdr:col>15</xdr:col>
          <xdr:colOff>638175</xdr:colOff>
          <xdr:row>59</xdr:row>
          <xdr:rowOff>180975</xdr:rowOff>
        </xdr:to>
        <xdr:sp macro="" textlink="">
          <xdr:nvSpPr>
            <xdr:cNvPr id="1045" name="Scroll Bar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9525</xdr:rowOff>
        </xdr:from>
        <xdr:to>
          <xdr:col>15</xdr:col>
          <xdr:colOff>638175</xdr:colOff>
          <xdr:row>60</xdr:row>
          <xdr:rowOff>180975</xdr:rowOff>
        </xdr:to>
        <xdr:sp macro="" textlink="">
          <xdr:nvSpPr>
            <xdr:cNvPr id="1046" name="Scroll Bar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9525</xdr:rowOff>
        </xdr:from>
        <xdr:to>
          <xdr:col>15</xdr:col>
          <xdr:colOff>638175</xdr:colOff>
          <xdr:row>61</xdr:row>
          <xdr:rowOff>180975</xdr:rowOff>
        </xdr:to>
        <xdr:sp macro="" textlink="">
          <xdr:nvSpPr>
            <xdr:cNvPr id="1047" name="Scroll Bar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mparker@unicommconsulting.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72"/>
  <sheetViews>
    <sheetView tabSelected="1" zoomScaleNormal="100" workbookViewId="0">
      <pane ySplit="8" topLeftCell="A9" activePane="bottomLeft" state="frozen"/>
      <selection pane="bottomLeft" activeCell="F10" sqref="F10"/>
    </sheetView>
  </sheetViews>
  <sheetFormatPr defaultRowHeight="15" x14ac:dyDescent="0.25"/>
  <cols>
    <col min="1" max="16" width="11.42578125" customWidth="1"/>
    <col min="17" max="17" width="10.28515625" customWidth="1"/>
  </cols>
  <sheetData>
    <row r="1" spans="1:21" ht="14.25" x14ac:dyDescent="0.45">
      <c r="A1" s="1" t="s">
        <v>0</v>
      </c>
      <c r="E1" s="80" t="s">
        <v>75</v>
      </c>
    </row>
    <row r="2" spans="1:21" x14ac:dyDescent="0.25">
      <c r="A2" t="s">
        <v>68</v>
      </c>
      <c r="E2" s="81" t="s">
        <v>76</v>
      </c>
    </row>
    <row r="3" spans="1:21" ht="14.25" x14ac:dyDescent="0.45">
      <c r="A3" s="76" t="s">
        <v>71</v>
      </c>
      <c r="H3" s="8" t="s">
        <v>53</v>
      </c>
      <c r="K3" s="8" t="s">
        <v>53</v>
      </c>
      <c r="O3" s="8" t="s">
        <v>53</v>
      </c>
      <c r="U3" t="s">
        <v>24</v>
      </c>
    </row>
    <row r="4" spans="1:21" ht="14.65" thickBot="1" x14ac:dyDescent="0.5">
      <c r="H4" s="8" t="s">
        <v>54</v>
      </c>
      <c r="K4" s="8" t="s">
        <v>55</v>
      </c>
      <c r="L4" s="8" t="s">
        <v>62</v>
      </c>
      <c r="M4" s="8"/>
      <c r="O4" s="9" t="s">
        <v>56</v>
      </c>
      <c r="P4" s="8" t="s">
        <v>62</v>
      </c>
      <c r="U4" t="s">
        <v>25</v>
      </c>
    </row>
    <row r="5" spans="1:21" ht="14.65" thickBot="1" x14ac:dyDescent="0.5">
      <c r="A5" s="1" t="s">
        <v>59</v>
      </c>
      <c r="B5" t="s">
        <v>60</v>
      </c>
      <c r="E5" s="11" t="s">
        <v>24</v>
      </c>
      <c r="G5" t="s">
        <v>34</v>
      </c>
      <c r="H5" s="5">
        <f>(E18*E26)+E40+(E43*E49)</f>
        <v>587900</v>
      </c>
      <c r="J5" t="s">
        <v>34</v>
      </c>
      <c r="K5" s="7">
        <f>(E18*K26)+K33+(E43*K49)+(J53*K65*(1/K66))</f>
        <v>604220</v>
      </c>
      <c r="L5" s="10">
        <f>(K5/$H5)-1</f>
        <v>2.775982309916647E-2</v>
      </c>
      <c r="M5" s="10"/>
      <c r="N5" t="s">
        <v>34</v>
      </c>
      <c r="O5" s="4">
        <f>(E18*E26)+E40+(E43*E49)+(((P53*Q58)+Q63)*(1/Q66))</f>
        <v>701500</v>
      </c>
      <c r="P5" s="10">
        <f>(O5/$H5)-1</f>
        <v>0.19323014118047288</v>
      </c>
    </row>
    <row r="6" spans="1:21" ht="14.65" thickBot="1" x14ac:dyDescent="0.5">
      <c r="B6" t="s">
        <v>61</v>
      </c>
      <c r="E6" s="11" t="s">
        <v>24</v>
      </c>
      <c r="G6" t="s">
        <v>37</v>
      </c>
      <c r="H6" s="6">
        <f>H5/(12*SUM($D$11:$D$13))</f>
        <v>48.991666666666667</v>
      </c>
      <c r="J6" t="s">
        <v>37</v>
      </c>
      <c r="K6" s="6">
        <f>K5/(12*SUM($D$11:$D$13))</f>
        <v>50.351666666666667</v>
      </c>
      <c r="L6" s="10">
        <f>(K6/$H6)-1</f>
        <v>2.775982309916647E-2</v>
      </c>
      <c r="M6" s="10"/>
      <c r="N6" t="s">
        <v>37</v>
      </c>
      <c r="O6" s="6">
        <f>O5/(12*SUM($D$11:$D$13))</f>
        <v>58.458333333333336</v>
      </c>
      <c r="P6" s="10">
        <f>(O6/$H6)-1</f>
        <v>0.19323014118047288</v>
      </c>
    </row>
    <row r="7" spans="1:21" ht="14.65" thickBot="1" x14ac:dyDescent="0.5">
      <c r="B7" t="s">
        <v>73</v>
      </c>
      <c r="E7" s="11" t="s">
        <v>24</v>
      </c>
      <c r="G7" t="s">
        <v>35</v>
      </c>
      <c r="H7" s="7">
        <f>H5*5</f>
        <v>2939500</v>
      </c>
      <c r="J7" t="s">
        <v>35</v>
      </c>
      <c r="K7" s="7">
        <f>K5*5</f>
        <v>3021100</v>
      </c>
      <c r="L7" s="10">
        <f>(K7/$H7)-1</f>
        <v>2.775982309916647E-2</v>
      </c>
      <c r="M7" s="10"/>
      <c r="N7" t="s">
        <v>35</v>
      </c>
      <c r="O7" s="7">
        <f>O5*5</f>
        <v>3507500</v>
      </c>
      <c r="P7" s="10">
        <f>(O7/$H7)-1</f>
        <v>0.19323014118047288</v>
      </c>
    </row>
    <row r="8" spans="1:21" ht="14.25" x14ac:dyDescent="0.45">
      <c r="H8" s="7"/>
      <c r="K8" s="7"/>
      <c r="N8" s="7"/>
    </row>
    <row r="9" spans="1:21" ht="14.25" x14ac:dyDescent="0.45">
      <c r="A9" s="1" t="s">
        <v>63</v>
      </c>
    </row>
    <row r="10" spans="1:21" ht="14.65" thickBot="1" x14ac:dyDescent="0.5">
      <c r="A10" s="1" t="s">
        <v>6</v>
      </c>
    </row>
    <row r="11" spans="1:21" ht="14.65" thickBot="1" x14ac:dyDescent="0.5">
      <c r="A11" t="s">
        <v>7</v>
      </c>
      <c r="D11" s="12">
        <v>200</v>
      </c>
    </row>
    <row r="12" spans="1:21" ht="14.65" thickBot="1" x14ac:dyDescent="0.5">
      <c r="A12" t="s">
        <v>8</v>
      </c>
      <c r="D12" s="12">
        <v>600</v>
      </c>
    </row>
    <row r="13" spans="1:21" ht="14.65" thickBot="1" x14ac:dyDescent="0.5">
      <c r="A13" t="s">
        <v>9</v>
      </c>
      <c r="D13" s="12">
        <v>200</v>
      </c>
    </row>
    <row r="15" spans="1:21" ht="14.65" thickBot="1" x14ac:dyDescent="0.5"/>
    <row r="16" spans="1:21" ht="14.25" x14ac:dyDescent="0.45">
      <c r="A16" s="31" t="s">
        <v>1</v>
      </c>
      <c r="B16" s="32"/>
      <c r="C16" s="32"/>
      <c r="D16" s="32"/>
      <c r="E16" s="33"/>
      <c r="G16" s="17" t="s">
        <v>2</v>
      </c>
      <c r="H16" s="18"/>
      <c r="I16" s="18"/>
      <c r="J16" s="18"/>
      <c r="K16" s="19"/>
      <c r="M16" s="47" t="s">
        <v>3</v>
      </c>
      <c r="N16" s="48"/>
      <c r="O16" s="48"/>
      <c r="P16" s="48"/>
      <c r="Q16" s="49"/>
    </row>
    <row r="17" spans="1:17" ht="14.65" thickBot="1" x14ac:dyDescent="0.5">
      <c r="A17" s="34"/>
      <c r="B17" s="35"/>
      <c r="C17" s="35"/>
      <c r="D17" s="36" t="s">
        <v>23</v>
      </c>
      <c r="E17" s="37"/>
      <c r="G17" s="20"/>
      <c r="H17" s="21"/>
      <c r="I17" s="21"/>
      <c r="J17" s="21"/>
      <c r="K17" s="22"/>
      <c r="M17" s="50"/>
      <c r="N17" s="51"/>
      <c r="O17" s="51"/>
      <c r="P17" s="51"/>
      <c r="Q17" s="52"/>
    </row>
    <row r="18" spans="1:17" ht="14.65" thickBot="1" x14ac:dyDescent="0.5">
      <c r="A18" s="34" t="s">
        <v>10</v>
      </c>
      <c r="B18" s="35"/>
      <c r="C18" s="35"/>
      <c r="D18" s="13" t="str">
        <f>E5</f>
        <v>Yes</v>
      </c>
      <c r="E18" s="38">
        <f>IF(D18="Yes",1,0)</f>
        <v>1</v>
      </c>
      <c r="G18" s="20"/>
      <c r="H18" s="21"/>
      <c r="I18" s="21"/>
      <c r="J18" s="21"/>
      <c r="K18" s="22"/>
      <c r="M18" s="50"/>
      <c r="N18" s="51"/>
      <c r="O18" s="51"/>
      <c r="P18" s="51"/>
      <c r="Q18" s="52"/>
    </row>
    <row r="19" spans="1:17" ht="14.25" x14ac:dyDescent="0.45">
      <c r="A19" s="34"/>
      <c r="B19" s="35"/>
      <c r="C19" s="35"/>
      <c r="D19" s="35"/>
      <c r="E19" s="37"/>
      <c r="G19" s="20"/>
      <c r="H19" s="21"/>
      <c r="I19" s="21"/>
      <c r="J19" s="21"/>
      <c r="K19" s="22"/>
      <c r="M19" s="50"/>
      <c r="N19" s="51"/>
      <c r="O19" s="51"/>
      <c r="P19" s="51"/>
      <c r="Q19" s="52"/>
    </row>
    <row r="20" spans="1:17" ht="14.65" thickBot="1" x14ac:dyDescent="0.5">
      <c r="A20" s="34" t="s">
        <v>4</v>
      </c>
      <c r="B20" s="35"/>
      <c r="C20" s="35"/>
      <c r="D20" s="36" t="s">
        <v>65</v>
      </c>
      <c r="E20" s="39" t="s">
        <v>12</v>
      </c>
      <c r="F20" s="2"/>
      <c r="G20" s="20" t="s">
        <v>39</v>
      </c>
      <c r="H20" s="21"/>
      <c r="I20" s="21"/>
      <c r="J20" s="21" t="s">
        <v>65</v>
      </c>
      <c r="K20" s="16" t="s">
        <v>12</v>
      </c>
      <c r="M20" s="50" t="s">
        <v>57</v>
      </c>
      <c r="N20" s="51"/>
      <c r="O20" s="51"/>
      <c r="P20" s="51"/>
      <c r="Q20" s="52"/>
    </row>
    <row r="21" spans="1:17" ht="14.65" thickBot="1" x14ac:dyDescent="0.5">
      <c r="A21" s="79" t="s">
        <v>74</v>
      </c>
      <c r="B21" s="35" t="s">
        <v>5</v>
      </c>
      <c r="C21" s="35"/>
      <c r="D21" s="14">
        <v>1</v>
      </c>
      <c r="E21" s="40">
        <f>125000*D21</f>
        <v>125000</v>
      </c>
      <c r="G21" s="78" t="s">
        <v>74</v>
      </c>
      <c r="H21" s="21" t="s">
        <v>5</v>
      </c>
      <c r="I21" s="21"/>
      <c r="J21" s="66">
        <v>1</v>
      </c>
      <c r="K21" s="67">
        <f>125000*J21</f>
        <v>125000</v>
      </c>
      <c r="L21" s="3"/>
      <c r="M21" s="50"/>
      <c r="N21" s="51"/>
      <c r="O21" s="51"/>
      <c r="P21" s="51"/>
      <c r="Q21" s="52"/>
    </row>
    <row r="22" spans="1:17" ht="14.65" thickBot="1" x14ac:dyDescent="0.5">
      <c r="A22" s="34"/>
      <c r="B22" s="35" t="s">
        <v>21</v>
      </c>
      <c r="C22" s="35"/>
      <c r="D22" s="14">
        <v>1</v>
      </c>
      <c r="E22" s="40">
        <f>125000*D22</f>
        <v>125000</v>
      </c>
      <c r="G22" s="77"/>
      <c r="H22" s="21" t="s">
        <v>21</v>
      </c>
      <c r="I22" s="21"/>
      <c r="J22" s="66">
        <v>1</v>
      </c>
      <c r="K22" s="67">
        <f>125000*J22</f>
        <v>125000</v>
      </c>
      <c r="L22" s="3"/>
      <c r="M22" s="50"/>
      <c r="N22" s="51"/>
      <c r="O22" s="51"/>
      <c r="P22" s="51"/>
      <c r="Q22" s="52"/>
    </row>
    <row r="23" spans="1:17" ht="14.65" thickBot="1" x14ac:dyDescent="0.5">
      <c r="A23" s="79">
        <v>1000</v>
      </c>
      <c r="B23" s="35" t="s">
        <v>20</v>
      </c>
      <c r="C23" s="35"/>
      <c r="D23" s="14">
        <f>SUM($D$11:$D$13)/A23</f>
        <v>1</v>
      </c>
      <c r="E23" s="40">
        <f>60000*D23</f>
        <v>60000</v>
      </c>
      <c r="G23" s="78">
        <v>2000</v>
      </c>
      <c r="H23" s="21" t="s">
        <v>20</v>
      </c>
      <c r="I23" s="21"/>
      <c r="J23" s="66">
        <f>SUM($D$11:$D$13)/G23</f>
        <v>0.5</v>
      </c>
      <c r="K23" s="67">
        <f>60000*J23</f>
        <v>30000</v>
      </c>
      <c r="L23" s="3"/>
      <c r="M23" s="50"/>
      <c r="N23" s="51"/>
      <c r="O23" s="51"/>
      <c r="P23" s="51"/>
      <c r="Q23" s="52"/>
    </row>
    <row r="24" spans="1:17" ht="14.65" thickBot="1" x14ac:dyDescent="0.5">
      <c r="A24" s="79">
        <v>500</v>
      </c>
      <c r="B24" s="35" t="s">
        <v>11</v>
      </c>
      <c r="C24" s="35"/>
      <c r="D24" s="14">
        <f>SUM($D$11:$D$12)/A24</f>
        <v>1.6</v>
      </c>
      <c r="E24" s="40">
        <f>45000*D24</f>
        <v>72000</v>
      </c>
      <c r="G24" s="78">
        <v>2000</v>
      </c>
      <c r="H24" s="21" t="s">
        <v>11</v>
      </c>
      <c r="I24" s="21"/>
      <c r="J24" s="66">
        <f>SUM($D$11:$D$12)/G24</f>
        <v>0.4</v>
      </c>
      <c r="K24" s="67">
        <f>IF(J36=1,(45000*J24),E24)</f>
        <v>18000</v>
      </c>
      <c r="L24" s="3"/>
      <c r="M24" s="50"/>
      <c r="N24" s="51"/>
      <c r="O24" s="51"/>
      <c r="P24" s="51"/>
      <c r="Q24" s="52"/>
    </row>
    <row r="25" spans="1:17" ht="14.65" thickBot="1" x14ac:dyDescent="0.5">
      <c r="A25" s="79">
        <v>500</v>
      </c>
      <c r="B25" s="35" t="s">
        <v>13</v>
      </c>
      <c r="C25" s="35"/>
      <c r="D25" s="14">
        <f>SUM($D$11:$D$13)/A25</f>
        <v>2</v>
      </c>
      <c r="E25" s="40">
        <f>40000*D25</f>
        <v>80000</v>
      </c>
      <c r="G25" s="78">
        <v>2000</v>
      </c>
      <c r="H25" s="21" t="s">
        <v>13</v>
      </c>
      <c r="I25" s="21"/>
      <c r="J25" s="66">
        <f>SUM($D$11:$D$13)/G25</f>
        <v>0.5</v>
      </c>
      <c r="K25" s="67">
        <f>IF(J37=1,(40000*J25),E25)</f>
        <v>80000</v>
      </c>
      <c r="L25" s="3"/>
      <c r="M25" s="50"/>
      <c r="N25" s="51"/>
      <c r="O25" s="51"/>
      <c r="P25" s="51"/>
      <c r="Q25" s="52"/>
    </row>
    <row r="26" spans="1:17" ht="14.25" x14ac:dyDescent="0.45">
      <c r="A26" s="34"/>
      <c r="B26" s="35"/>
      <c r="C26" s="35" t="s">
        <v>22</v>
      </c>
      <c r="D26" s="35"/>
      <c r="E26" s="41">
        <f>SUM(E21:E25)</f>
        <v>462000</v>
      </c>
      <c r="G26" s="20"/>
      <c r="H26" s="21"/>
      <c r="I26" s="21" t="s">
        <v>22</v>
      </c>
      <c r="J26" s="21"/>
      <c r="K26" s="24">
        <f>SUM(K21:K25)</f>
        <v>378000</v>
      </c>
      <c r="L26" s="4"/>
      <c r="M26" s="50"/>
      <c r="N26" s="51"/>
      <c r="O26" s="51"/>
      <c r="P26" s="51"/>
      <c r="Q26" s="52"/>
    </row>
    <row r="27" spans="1:17" ht="14.25" x14ac:dyDescent="0.45">
      <c r="A27" s="34"/>
      <c r="B27" s="35"/>
      <c r="C27" s="35"/>
      <c r="D27" s="35"/>
      <c r="E27" s="37"/>
      <c r="G27" s="20"/>
      <c r="H27" s="21"/>
      <c r="I27" s="21"/>
      <c r="J27" s="21"/>
      <c r="K27" s="22"/>
      <c r="M27" s="50"/>
      <c r="N27" s="51"/>
      <c r="O27" s="51"/>
      <c r="P27" s="51"/>
      <c r="Q27" s="52"/>
    </row>
    <row r="28" spans="1:17" ht="14.25" x14ac:dyDescent="0.45">
      <c r="A28" s="34" t="s">
        <v>14</v>
      </c>
      <c r="B28" s="35"/>
      <c r="C28" s="35"/>
      <c r="D28" s="35" t="s">
        <v>67</v>
      </c>
      <c r="E28" s="37"/>
      <c r="G28" s="20"/>
      <c r="H28" s="21"/>
      <c r="I28" s="21"/>
      <c r="J28" s="21"/>
      <c r="K28" s="22"/>
      <c r="M28" s="50" t="s">
        <v>57</v>
      </c>
      <c r="N28" s="51"/>
      <c r="O28" s="51"/>
      <c r="P28" s="51"/>
      <c r="Q28" s="52"/>
    </row>
    <row r="29" spans="1:17" ht="14.65" thickBot="1" x14ac:dyDescent="0.5">
      <c r="A29" s="34" t="s">
        <v>26</v>
      </c>
      <c r="B29" s="35"/>
      <c r="C29" s="35"/>
      <c r="D29" s="35"/>
      <c r="E29" s="37"/>
      <c r="G29" s="20" t="s">
        <v>41</v>
      </c>
      <c r="H29" s="21"/>
      <c r="I29" s="21"/>
      <c r="J29" s="21" t="s">
        <v>36</v>
      </c>
      <c r="K29" s="22"/>
      <c r="M29" s="50"/>
      <c r="N29" s="51"/>
      <c r="O29" s="51"/>
      <c r="P29" s="51"/>
      <c r="Q29" s="52"/>
    </row>
    <row r="30" spans="1:17" ht="14.65" thickBot="1" x14ac:dyDescent="0.5">
      <c r="A30" s="34"/>
      <c r="B30" s="35" t="s">
        <v>15</v>
      </c>
      <c r="C30" s="35"/>
      <c r="D30" s="64">
        <v>30</v>
      </c>
      <c r="E30" s="41">
        <f>D11*D30</f>
        <v>6000</v>
      </c>
      <c r="G30" s="20" t="s">
        <v>15</v>
      </c>
      <c r="H30" s="21"/>
      <c r="I30" s="68"/>
      <c r="J30" s="68"/>
      <c r="K30" s="67">
        <v>20</v>
      </c>
      <c r="M30" s="50"/>
      <c r="N30" s="51"/>
      <c r="O30" s="51"/>
      <c r="P30" s="51"/>
      <c r="Q30" s="52"/>
    </row>
    <row r="31" spans="1:17" ht="14.65" thickBot="1" x14ac:dyDescent="0.5">
      <c r="A31" s="34"/>
      <c r="B31" s="35" t="s">
        <v>16</v>
      </c>
      <c r="C31" s="35"/>
      <c r="D31" s="64">
        <v>16</v>
      </c>
      <c r="E31" s="41">
        <f>D12*D31</f>
        <v>9600</v>
      </c>
      <c r="G31" s="20" t="s">
        <v>16</v>
      </c>
      <c r="H31" s="21"/>
      <c r="I31" s="68"/>
      <c r="J31" s="68"/>
      <c r="K31" s="67">
        <v>15</v>
      </c>
      <c r="M31" s="50"/>
      <c r="N31" s="51"/>
      <c r="O31" s="51"/>
      <c r="P31" s="51"/>
      <c r="Q31" s="52"/>
    </row>
    <row r="32" spans="1:17" ht="14.65" thickBot="1" x14ac:dyDescent="0.5">
      <c r="A32" s="34"/>
      <c r="B32" s="35" t="s">
        <v>17</v>
      </c>
      <c r="C32" s="35"/>
      <c r="D32" s="64">
        <v>6</v>
      </c>
      <c r="E32" s="41">
        <f>D13*D32</f>
        <v>1200</v>
      </c>
      <c r="G32" s="20" t="s">
        <v>17</v>
      </c>
      <c r="H32" s="21"/>
      <c r="I32" s="68"/>
      <c r="J32" s="68"/>
      <c r="K32" s="67">
        <v>8</v>
      </c>
      <c r="M32" s="50"/>
      <c r="N32" s="51"/>
      <c r="O32" s="51"/>
      <c r="P32" s="51"/>
      <c r="Q32" s="52"/>
    </row>
    <row r="33" spans="1:17" ht="14.65" thickBot="1" x14ac:dyDescent="0.5">
      <c r="A33" s="34" t="s">
        <v>18</v>
      </c>
      <c r="B33" s="35"/>
      <c r="C33" s="35"/>
      <c r="D33" s="65"/>
      <c r="E33" s="37"/>
      <c r="G33" s="20"/>
      <c r="H33" s="21" t="s">
        <v>44</v>
      </c>
      <c r="I33" s="21"/>
      <c r="J33" s="21"/>
      <c r="K33" s="23">
        <f>12*SUMPRODUCT(D11:D13,K30:K32)</f>
        <v>175200</v>
      </c>
      <c r="M33" s="50"/>
      <c r="N33" s="51"/>
      <c r="O33" s="51"/>
      <c r="P33" s="51"/>
      <c r="Q33" s="52"/>
    </row>
    <row r="34" spans="1:17" ht="14.65" thickBot="1" x14ac:dyDescent="0.5">
      <c r="A34" s="34"/>
      <c r="B34" s="35" t="s">
        <v>27</v>
      </c>
      <c r="C34" s="35"/>
      <c r="D34" s="64">
        <v>5000</v>
      </c>
      <c r="E34" s="41">
        <f>D34</f>
        <v>5000</v>
      </c>
      <c r="G34" s="20"/>
      <c r="H34" s="21"/>
      <c r="I34" s="21"/>
      <c r="J34" s="21"/>
      <c r="K34" s="22"/>
      <c r="M34" s="50"/>
      <c r="N34" s="51"/>
      <c r="O34" s="51"/>
      <c r="P34" s="51"/>
      <c r="Q34" s="52"/>
    </row>
    <row r="35" spans="1:17" ht="14.65" thickBot="1" x14ac:dyDescent="0.5">
      <c r="A35" s="34"/>
      <c r="B35" s="35" t="s">
        <v>28</v>
      </c>
      <c r="C35" s="35"/>
      <c r="D35" s="64">
        <v>5000</v>
      </c>
      <c r="E35" s="41">
        <f>D35</f>
        <v>5000</v>
      </c>
      <c r="G35" s="20"/>
      <c r="H35" s="21"/>
      <c r="I35" s="16" t="s">
        <v>23</v>
      </c>
      <c r="J35" s="21"/>
      <c r="K35" s="22"/>
      <c r="M35" s="50"/>
      <c r="N35" s="51"/>
      <c r="O35" s="51"/>
      <c r="P35" s="51"/>
      <c r="Q35" s="52"/>
    </row>
    <row r="36" spans="1:17" ht="14.65" thickBot="1" x14ac:dyDescent="0.5">
      <c r="A36" s="34"/>
      <c r="B36" s="35" t="s">
        <v>29</v>
      </c>
      <c r="C36" s="35"/>
      <c r="D36" s="64">
        <v>1000</v>
      </c>
      <c r="E36" s="41">
        <f>D36</f>
        <v>1000</v>
      </c>
      <c r="G36" s="20" t="s">
        <v>42</v>
      </c>
      <c r="H36" s="21"/>
      <c r="I36" s="69" t="s">
        <v>24</v>
      </c>
      <c r="J36" s="25">
        <f>IF(I36="Yes",1,0)</f>
        <v>1</v>
      </c>
      <c r="K36" s="22"/>
      <c r="M36" s="50"/>
      <c r="N36" s="51"/>
      <c r="O36" s="51"/>
      <c r="P36" s="51"/>
      <c r="Q36" s="52"/>
    </row>
    <row r="37" spans="1:17" ht="14.65" thickBot="1" x14ac:dyDescent="0.5">
      <c r="A37" s="34" t="s">
        <v>19</v>
      </c>
      <c r="B37" s="35"/>
      <c r="C37" s="35"/>
      <c r="D37" s="65"/>
      <c r="E37" s="37"/>
      <c r="G37" s="20" t="s">
        <v>43</v>
      </c>
      <c r="H37" s="21"/>
      <c r="I37" s="69" t="s">
        <v>25</v>
      </c>
      <c r="J37" s="25">
        <f>IF(I37="Yes",1,0)</f>
        <v>0</v>
      </c>
      <c r="K37" s="22"/>
      <c r="M37" s="50"/>
      <c r="N37" s="51"/>
      <c r="O37" s="51"/>
      <c r="P37" s="51"/>
      <c r="Q37" s="52"/>
    </row>
    <row r="38" spans="1:17" ht="14.65" thickBot="1" x14ac:dyDescent="0.5">
      <c r="A38" s="34"/>
      <c r="B38" s="35" t="s">
        <v>64</v>
      </c>
      <c r="C38" s="35"/>
      <c r="D38" s="64">
        <v>30</v>
      </c>
      <c r="E38" s="42">
        <f>D38*SUM(D11:D13)</f>
        <v>30000</v>
      </c>
      <c r="G38" s="20"/>
      <c r="H38" s="21"/>
      <c r="I38" s="21"/>
      <c r="J38" s="21"/>
      <c r="K38" s="22"/>
      <c r="M38" s="50"/>
      <c r="N38" s="51"/>
      <c r="O38" s="51"/>
      <c r="P38" s="51"/>
      <c r="Q38" s="52"/>
    </row>
    <row r="39" spans="1:17" ht="14.65" thickBot="1" x14ac:dyDescent="0.5">
      <c r="A39" s="34"/>
      <c r="B39" s="35" t="s">
        <v>30</v>
      </c>
      <c r="C39" s="35"/>
      <c r="D39" s="61"/>
      <c r="E39" s="41">
        <f>D39</f>
        <v>0</v>
      </c>
      <c r="G39" s="20"/>
      <c r="H39" s="21"/>
      <c r="I39" s="21"/>
      <c r="J39" s="21"/>
      <c r="K39" s="22"/>
      <c r="M39" s="50"/>
      <c r="N39" s="51"/>
      <c r="O39" s="51"/>
      <c r="P39" s="51"/>
      <c r="Q39" s="52"/>
    </row>
    <row r="40" spans="1:17" ht="14.25" x14ac:dyDescent="0.45">
      <c r="A40" s="34"/>
      <c r="B40" s="35"/>
      <c r="C40" s="35"/>
      <c r="D40" s="35"/>
      <c r="E40" s="41">
        <f>SUM(E30:E39)</f>
        <v>57800</v>
      </c>
      <c r="G40" s="20"/>
      <c r="H40" s="21"/>
      <c r="I40" s="21"/>
      <c r="J40" s="21"/>
      <c r="K40" s="22"/>
      <c r="M40" s="50"/>
      <c r="N40" s="51"/>
      <c r="O40" s="51"/>
      <c r="P40" s="51"/>
      <c r="Q40" s="52"/>
    </row>
    <row r="41" spans="1:17" ht="14.25" x14ac:dyDescent="0.45">
      <c r="A41" s="34"/>
      <c r="B41" s="35"/>
      <c r="C41" s="35"/>
      <c r="D41" s="35"/>
      <c r="E41" s="37"/>
      <c r="G41" s="20"/>
      <c r="H41" s="21"/>
      <c r="I41" s="21"/>
      <c r="J41" s="21"/>
      <c r="K41" s="22"/>
      <c r="M41" s="50"/>
      <c r="N41" s="51"/>
      <c r="O41" s="51"/>
      <c r="P41" s="51"/>
      <c r="Q41" s="52"/>
    </row>
    <row r="42" spans="1:17" ht="14.65" thickBot="1" x14ac:dyDescent="0.5">
      <c r="A42" s="34" t="s">
        <v>31</v>
      </c>
      <c r="B42" s="35"/>
      <c r="C42" s="35"/>
      <c r="D42" s="36" t="s">
        <v>23</v>
      </c>
      <c r="E42" s="37"/>
      <c r="G42" s="20"/>
      <c r="H42" s="21"/>
      <c r="I42" s="21"/>
      <c r="J42" s="21"/>
      <c r="K42" s="22"/>
      <c r="M42" s="50" t="s">
        <v>57</v>
      </c>
      <c r="N42" s="51"/>
      <c r="O42" s="51"/>
      <c r="P42" s="51"/>
      <c r="Q42" s="52"/>
    </row>
    <row r="43" spans="1:17" ht="14.65" thickBot="1" x14ac:dyDescent="0.5">
      <c r="A43" s="34" t="s">
        <v>38</v>
      </c>
      <c r="B43" s="35"/>
      <c r="C43" s="35"/>
      <c r="D43" s="13" t="str">
        <f>E6</f>
        <v>Yes</v>
      </c>
      <c r="E43" s="38">
        <f>IF(D43="Yes",1,0)</f>
        <v>1</v>
      </c>
      <c r="G43" s="20"/>
      <c r="H43" s="21"/>
      <c r="I43" s="21"/>
      <c r="J43" s="16" t="s">
        <v>23</v>
      </c>
      <c r="K43" s="22"/>
      <c r="M43" s="50"/>
      <c r="N43" s="51"/>
      <c r="O43" s="51"/>
      <c r="P43" s="51"/>
      <c r="Q43" s="52"/>
    </row>
    <row r="44" spans="1:17" ht="14.65" thickBot="1" x14ac:dyDescent="0.5">
      <c r="A44" s="34"/>
      <c r="B44" s="35"/>
      <c r="C44" s="35"/>
      <c r="D44" s="35"/>
      <c r="E44" s="37"/>
      <c r="G44" s="20"/>
      <c r="H44" s="21" t="s">
        <v>47</v>
      </c>
      <c r="I44" s="21"/>
      <c r="J44" s="69" t="s">
        <v>24</v>
      </c>
      <c r="K44" s="67">
        <f>IF(J44="Yes",0,E45)</f>
        <v>0</v>
      </c>
      <c r="M44" s="50"/>
      <c r="N44" s="51"/>
      <c r="O44" s="51"/>
      <c r="P44" s="51"/>
      <c r="Q44" s="52"/>
    </row>
    <row r="45" spans="1:17" ht="14.65" thickBot="1" x14ac:dyDescent="0.5">
      <c r="A45" s="34"/>
      <c r="B45" s="35" t="s">
        <v>32</v>
      </c>
      <c r="C45" s="35"/>
      <c r="D45" s="61">
        <v>150</v>
      </c>
      <c r="E45" s="40">
        <f>D45*12*25</f>
        <v>45000</v>
      </c>
      <c r="G45" s="20"/>
      <c r="H45" s="21" t="s">
        <v>45</v>
      </c>
      <c r="I45" s="21"/>
      <c r="J45" s="69" t="s">
        <v>24</v>
      </c>
      <c r="K45" s="67">
        <f>IF(J45="Yes",0,E46)</f>
        <v>0</v>
      </c>
      <c r="M45" s="50"/>
      <c r="N45" s="51"/>
      <c r="O45" s="51"/>
      <c r="P45" s="51"/>
      <c r="Q45" s="52"/>
    </row>
    <row r="46" spans="1:17" ht="14.65" thickBot="1" x14ac:dyDescent="0.5">
      <c r="A46" s="34"/>
      <c r="B46" s="35" t="s">
        <v>66</v>
      </c>
      <c r="C46" s="35"/>
      <c r="D46" s="62">
        <f>0.015</f>
        <v>1.4999999999999999E-2</v>
      </c>
      <c r="E46" s="40">
        <f>D45*0.8*(1/0.15)*12</f>
        <v>9600</v>
      </c>
      <c r="G46" s="20"/>
      <c r="H46" s="21" t="s">
        <v>46</v>
      </c>
      <c r="I46" s="21"/>
      <c r="J46" s="70">
        <v>0.4</v>
      </c>
      <c r="K46" s="71"/>
      <c r="M46" s="50"/>
      <c r="N46" s="51"/>
      <c r="O46" s="51"/>
      <c r="P46" s="51"/>
      <c r="Q46" s="52"/>
    </row>
    <row r="47" spans="1:17" ht="14.65" thickBot="1" x14ac:dyDescent="0.5">
      <c r="A47" s="43"/>
      <c r="B47" s="35" t="s">
        <v>40</v>
      </c>
      <c r="C47" s="35"/>
      <c r="D47" s="63">
        <v>0.25</v>
      </c>
      <c r="E47" s="40">
        <f>E45*D47</f>
        <v>11250</v>
      </c>
      <c r="G47" s="20"/>
      <c r="H47" s="21" t="s">
        <v>40</v>
      </c>
      <c r="I47" s="21"/>
      <c r="J47" s="70">
        <v>0.25</v>
      </c>
      <c r="K47" s="72">
        <f>K33*J46*J47</f>
        <v>17520</v>
      </c>
      <c r="M47" s="50"/>
      <c r="N47" s="51"/>
      <c r="O47" s="51"/>
      <c r="P47" s="51"/>
      <c r="Q47" s="52"/>
    </row>
    <row r="48" spans="1:17" ht="14.65" thickBot="1" x14ac:dyDescent="0.5">
      <c r="A48" s="34"/>
      <c r="B48" s="35" t="s">
        <v>33</v>
      </c>
      <c r="C48" s="35"/>
      <c r="D48" s="61">
        <f>0.1*((D45)+(D45*0.25))</f>
        <v>18.75</v>
      </c>
      <c r="E48" s="40">
        <f>D48*12*10</f>
        <v>2250</v>
      </c>
      <c r="G48" s="20"/>
      <c r="H48" s="21" t="s">
        <v>33</v>
      </c>
      <c r="I48" s="21"/>
      <c r="J48" s="73">
        <f>(D45*0.1)+(2*D45*0.1*0.25)</f>
        <v>22.5</v>
      </c>
      <c r="K48" s="67">
        <f>J48*10*12</f>
        <v>2700</v>
      </c>
      <c r="M48" s="50"/>
      <c r="N48" s="51"/>
      <c r="O48" s="51"/>
      <c r="P48" s="51"/>
      <c r="Q48" s="52"/>
    </row>
    <row r="49" spans="1:17" ht="14.25" x14ac:dyDescent="0.45">
      <c r="A49" s="34"/>
      <c r="B49" s="35"/>
      <c r="C49" s="35"/>
      <c r="D49" s="35"/>
      <c r="E49" s="41">
        <f>SUM(E45:E48)</f>
        <v>68100</v>
      </c>
      <c r="G49" s="20"/>
      <c r="H49" s="21"/>
      <c r="I49" s="21"/>
      <c r="J49" s="21"/>
      <c r="K49" s="24">
        <f>SUM(K47:K48)</f>
        <v>20220</v>
      </c>
      <c r="M49" s="50"/>
      <c r="N49" s="51"/>
      <c r="O49" s="51"/>
      <c r="P49" s="51"/>
      <c r="Q49" s="52"/>
    </row>
    <row r="50" spans="1:17" ht="14.25" x14ac:dyDescent="0.45">
      <c r="A50" s="34"/>
      <c r="B50" s="35"/>
      <c r="C50" s="35"/>
      <c r="D50" s="35"/>
      <c r="E50" s="41"/>
      <c r="G50" s="20"/>
      <c r="H50" s="21"/>
      <c r="I50" s="21"/>
      <c r="J50" s="21"/>
      <c r="K50" s="24"/>
      <c r="M50" s="50"/>
      <c r="N50" s="51"/>
      <c r="O50" s="51"/>
      <c r="P50" s="51"/>
      <c r="Q50" s="52"/>
    </row>
    <row r="51" spans="1:17" ht="14.25" x14ac:dyDescent="0.45">
      <c r="A51" s="34"/>
      <c r="B51" s="35"/>
      <c r="C51" s="35"/>
      <c r="D51" s="35"/>
      <c r="E51" s="41"/>
      <c r="G51" s="20"/>
      <c r="H51" s="21"/>
      <c r="I51" s="21"/>
      <c r="J51" s="21"/>
      <c r="K51" s="24"/>
      <c r="M51" s="50"/>
      <c r="N51" s="51"/>
      <c r="O51" s="51"/>
      <c r="P51" s="51"/>
      <c r="Q51" s="52"/>
    </row>
    <row r="52" spans="1:17" ht="14.65" thickBot="1" x14ac:dyDescent="0.5">
      <c r="A52" s="34"/>
      <c r="B52" s="35"/>
      <c r="C52" s="35"/>
      <c r="D52" s="35"/>
      <c r="E52" s="37"/>
      <c r="G52" s="20"/>
      <c r="H52" s="21"/>
      <c r="I52" s="16" t="s">
        <v>23</v>
      </c>
      <c r="J52" s="21"/>
      <c r="K52" s="22"/>
      <c r="M52" s="50"/>
      <c r="N52" s="51"/>
      <c r="O52" s="30" t="s">
        <v>23</v>
      </c>
      <c r="P52" s="51"/>
      <c r="Q52" s="52"/>
    </row>
    <row r="53" spans="1:17" ht="15.75" thickBot="1" x14ac:dyDescent="0.3">
      <c r="A53" s="34"/>
      <c r="B53" s="35"/>
      <c r="C53" s="35"/>
      <c r="D53" s="35"/>
      <c r="E53" s="37"/>
      <c r="G53" s="20" t="s">
        <v>51</v>
      </c>
      <c r="H53" s="21"/>
      <c r="I53" s="15" t="str">
        <f>E7</f>
        <v>Yes</v>
      </c>
      <c r="J53" s="25">
        <f>IF(I53="Yes",1,0)</f>
        <v>1</v>
      </c>
      <c r="K53" s="22"/>
      <c r="M53" s="50" t="s">
        <v>51</v>
      </c>
      <c r="N53" s="51"/>
      <c r="O53" s="29" t="str">
        <f>E7</f>
        <v>Yes</v>
      </c>
      <c r="P53" s="53">
        <f>IF(O53="Yes",1,0)</f>
        <v>1</v>
      </c>
      <c r="Q53" s="52"/>
    </row>
    <row r="54" spans="1:17" x14ac:dyDescent="0.25">
      <c r="A54" s="34"/>
      <c r="B54" s="35"/>
      <c r="C54" s="35"/>
      <c r="D54" s="35"/>
      <c r="E54" s="37"/>
      <c r="G54" s="20" t="s">
        <v>48</v>
      </c>
      <c r="H54" s="21"/>
      <c r="I54" s="21"/>
      <c r="J54" s="21"/>
      <c r="K54" s="22"/>
      <c r="M54" s="50" t="s">
        <v>48</v>
      </c>
      <c r="N54" s="51"/>
      <c r="O54" s="51"/>
      <c r="P54" s="51"/>
      <c r="Q54" s="52"/>
    </row>
    <row r="55" spans="1:17" x14ac:dyDescent="0.25">
      <c r="A55" s="34"/>
      <c r="B55" s="35"/>
      <c r="C55" s="35"/>
      <c r="D55" s="35"/>
      <c r="E55" s="37"/>
      <c r="G55" s="20" t="s">
        <v>15</v>
      </c>
      <c r="H55" s="21"/>
      <c r="I55" s="68"/>
      <c r="J55" s="68"/>
      <c r="K55" s="67">
        <v>100</v>
      </c>
      <c r="M55" s="50" t="s">
        <v>15</v>
      </c>
      <c r="N55" s="51"/>
      <c r="O55" s="54"/>
      <c r="P55" s="54"/>
      <c r="Q55" s="55">
        <v>300</v>
      </c>
    </row>
    <row r="56" spans="1:17" x14ac:dyDescent="0.25">
      <c r="A56" s="34"/>
      <c r="B56" s="35"/>
      <c r="C56" s="35"/>
      <c r="D56" s="35"/>
      <c r="E56" s="37"/>
      <c r="G56" s="20" t="s">
        <v>16</v>
      </c>
      <c r="H56" s="21"/>
      <c r="I56" s="68"/>
      <c r="J56" s="68"/>
      <c r="K56" s="67">
        <v>60</v>
      </c>
      <c r="M56" s="50" t="s">
        <v>16</v>
      </c>
      <c r="N56" s="51"/>
      <c r="O56" s="54"/>
      <c r="P56" s="54"/>
      <c r="Q56" s="55">
        <v>200</v>
      </c>
    </row>
    <row r="57" spans="1:17" x14ac:dyDescent="0.25">
      <c r="A57" s="34"/>
      <c r="B57" s="35"/>
      <c r="C57" s="35"/>
      <c r="D57" s="35"/>
      <c r="E57" s="37"/>
      <c r="G57" s="20" t="s">
        <v>17</v>
      </c>
      <c r="H57" s="21"/>
      <c r="I57" s="68"/>
      <c r="J57" s="68"/>
      <c r="K57" s="67">
        <v>40</v>
      </c>
      <c r="M57" s="50" t="s">
        <v>17</v>
      </c>
      <c r="N57" s="51"/>
      <c r="O57" s="54"/>
      <c r="P57" s="54"/>
      <c r="Q57" s="55">
        <v>90</v>
      </c>
    </row>
    <row r="58" spans="1:17" x14ac:dyDescent="0.25">
      <c r="A58" s="34"/>
      <c r="B58" s="35"/>
      <c r="C58" s="35"/>
      <c r="D58" s="35"/>
      <c r="E58" s="37"/>
      <c r="G58" s="20"/>
      <c r="H58" s="21"/>
      <c r="I58" s="21"/>
      <c r="J58" s="21"/>
      <c r="K58" s="23">
        <f>SUMPRODUCT(K55:K57,$D$11:$D$13)</f>
        <v>64000</v>
      </c>
      <c r="M58" s="50"/>
      <c r="N58" s="51"/>
      <c r="O58" s="51"/>
      <c r="P58" s="51"/>
      <c r="Q58" s="56">
        <f>SUMPRODUCT(Q55:Q57,$D$11:$D$13)</f>
        <v>198000</v>
      </c>
    </row>
    <row r="59" spans="1:17" ht="15.75" thickBot="1" x14ac:dyDescent="0.3">
      <c r="A59" s="34"/>
      <c r="B59" s="35"/>
      <c r="C59" s="35"/>
      <c r="D59" s="35"/>
      <c r="E59" s="37"/>
      <c r="G59" s="20" t="s">
        <v>49</v>
      </c>
      <c r="H59" s="21"/>
      <c r="I59" s="21"/>
      <c r="J59" s="21"/>
      <c r="K59" s="22"/>
      <c r="M59" s="50" t="s">
        <v>58</v>
      </c>
      <c r="N59" s="51"/>
      <c r="O59" s="51"/>
      <c r="P59" s="51"/>
      <c r="Q59" s="52"/>
    </row>
    <row r="60" spans="1:17" ht="15.75" thickBot="1" x14ac:dyDescent="0.3">
      <c r="A60" s="34"/>
      <c r="B60" s="35"/>
      <c r="C60" s="35"/>
      <c r="D60" s="35"/>
      <c r="E60" s="37"/>
      <c r="G60" s="20" t="s">
        <v>15</v>
      </c>
      <c r="H60" s="21"/>
      <c r="I60" s="69" t="s">
        <v>24</v>
      </c>
      <c r="J60" s="25">
        <f>IF(I60="Yes",1,0)</f>
        <v>1</v>
      </c>
      <c r="K60" s="74">
        <f>100*J60</f>
        <v>100</v>
      </c>
      <c r="M60" s="50" t="s">
        <v>15</v>
      </c>
      <c r="N60" s="51"/>
      <c r="O60" s="54"/>
      <c r="P60" s="54"/>
      <c r="Q60" s="55">
        <v>450</v>
      </c>
    </row>
    <row r="61" spans="1:17" ht="15.75" thickBot="1" x14ac:dyDescent="0.3">
      <c r="A61" s="34"/>
      <c r="B61" s="35"/>
      <c r="C61" s="35"/>
      <c r="D61" s="35"/>
      <c r="E61" s="37"/>
      <c r="G61" s="20" t="s">
        <v>16</v>
      </c>
      <c r="H61" s="21"/>
      <c r="I61" s="69" t="s">
        <v>24</v>
      </c>
      <c r="J61" s="25">
        <f>IF(I61="Yes",1,0)</f>
        <v>1</v>
      </c>
      <c r="K61" s="74">
        <f>100*J61</f>
        <v>100</v>
      </c>
      <c r="M61" s="50" t="s">
        <v>16</v>
      </c>
      <c r="N61" s="51"/>
      <c r="O61" s="54"/>
      <c r="P61" s="54"/>
      <c r="Q61" s="55">
        <v>400</v>
      </c>
    </row>
    <row r="62" spans="1:17" ht="15.75" thickBot="1" x14ac:dyDescent="0.3">
      <c r="A62" s="34"/>
      <c r="B62" s="35"/>
      <c r="C62" s="35"/>
      <c r="D62" s="35"/>
      <c r="E62" s="37"/>
      <c r="G62" s="20" t="s">
        <v>17</v>
      </c>
      <c r="H62" s="21"/>
      <c r="I62" s="69" t="s">
        <v>24</v>
      </c>
      <c r="J62" s="25">
        <f>IF(I62="Yes",1,0)</f>
        <v>1</v>
      </c>
      <c r="K62" s="74">
        <f>50*J62</f>
        <v>50</v>
      </c>
      <c r="M62" s="50" t="s">
        <v>17</v>
      </c>
      <c r="N62" s="51"/>
      <c r="O62" s="54"/>
      <c r="P62" s="54"/>
      <c r="Q62" s="55">
        <v>200</v>
      </c>
    </row>
    <row r="63" spans="1:17" x14ac:dyDescent="0.25">
      <c r="A63" s="34"/>
      <c r="B63" s="35"/>
      <c r="C63" s="35"/>
      <c r="D63" s="35"/>
      <c r="E63" s="37"/>
      <c r="G63" s="20"/>
      <c r="H63" s="21"/>
      <c r="I63" s="21"/>
      <c r="J63" s="21"/>
      <c r="K63" s="23">
        <f>SUMPRODUCT(K60:K62,$D$11:$D$13)</f>
        <v>90000</v>
      </c>
      <c r="M63" s="50"/>
      <c r="N63" s="51"/>
      <c r="O63" s="51"/>
      <c r="P63" s="51"/>
      <c r="Q63" s="56">
        <f>SUMPRODUCT(Q60:Q62,$D$11:$D$13)</f>
        <v>370000</v>
      </c>
    </row>
    <row r="64" spans="1:17" x14ac:dyDescent="0.25">
      <c r="A64" s="34"/>
      <c r="B64" s="35"/>
      <c r="C64" s="35"/>
      <c r="D64" s="35"/>
      <c r="E64" s="37"/>
      <c r="G64" s="20"/>
      <c r="H64" s="21"/>
      <c r="I64" s="21"/>
      <c r="J64" s="21"/>
      <c r="K64" s="22"/>
      <c r="M64" s="50"/>
      <c r="N64" s="51"/>
      <c r="O64" s="51"/>
      <c r="P64" s="51"/>
      <c r="Q64" s="52"/>
    </row>
    <row r="65" spans="1:17" x14ac:dyDescent="0.25">
      <c r="A65" s="34"/>
      <c r="B65" s="35"/>
      <c r="C65" s="35"/>
      <c r="D65" s="35"/>
      <c r="E65" s="37"/>
      <c r="G65" s="20"/>
      <c r="H65" s="21"/>
      <c r="I65" s="21"/>
      <c r="J65" s="16" t="s">
        <v>50</v>
      </c>
      <c r="K65" s="24">
        <f>K58+K63</f>
        <v>154000</v>
      </c>
      <c r="M65" s="50"/>
      <c r="N65" s="51"/>
      <c r="O65" s="51"/>
      <c r="P65" s="30" t="s">
        <v>50</v>
      </c>
      <c r="Q65" s="57">
        <f>Q58+Q63</f>
        <v>568000</v>
      </c>
    </row>
    <row r="66" spans="1:17" x14ac:dyDescent="0.25">
      <c r="A66" s="34"/>
      <c r="B66" s="35"/>
      <c r="C66" s="35"/>
      <c r="D66" s="35"/>
      <c r="E66" s="37"/>
      <c r="G66" s="20"/>
      <c r="H66" s="21"/>
      <c r="I66" s="21"/>
      <c r="J66" s="16" t="s">
        <v>52</v>
      </c>
      <c r="K66" s="71">
        <v>5</v>
      </c>
      <c r="M66" s="50"/>
      <c r="N66" s="51"/>
      <c r="O66" s="51"/>
      <c r="P66" s="30" t="s">
        <v>52</v>
      </c>
      <c r="Q66" s="75">
        <v>5</v>
      </c>
    </row>
    <row r="67" spans="1:17" ht="15.75" thickBot="1" x14ac:dyDescent="0.3">
      <c r="A67" s="44"/>
      <c r="B67" s="45"/>
      <c r="C67" s="45"/>
      <c r="D67" s="45"/>
      <c r="E67" s="46"/>
      <c r="G67" s="26"/>
      <c r="H67" s="27"/>
      <c r="I67" s="27"/>
      <c r="J67" s="27"/>
      <c r="K67" s="28"/>
      <c r="M67" s="58"/>
      <c r="N67" s="59"/>
      <c r="O67" s="59"/>
      <c r="P67" s="59"/>
      <c r="Q67" s="60"/>
    </row>
    <row r="70" spans="1:17" x14ac:dyDescent="0.25">
      <c r="A70" t="s">
        <v>72</v>
      </c>
    </row>
    <row r="71" spans="1:17" x14ac:dyDescent="0.25">
      <c r="A71" t="s">
        <v>69</v>
      </c>
    </row>
    <row r="72" spans="1:17" x14ac:dyDescent="0.25">
      <c r="A72" t="s">
        <v>70</v>
      </c>
    </row>
  </sheetData>
  <conditionalFormatting sqref="K5 H5">
    <cfRule type="colorScale" priority="27">
      <colorScale>
        <cfvo type="min"/>
        <cfvo type="percentile" val="50"/>
        <cfvo type="max"/>
        <color rgb="FF63BE7B"/>
        <color rgb="FFFFEB84"/>
        <color rgb="FFF8696B"/>
      </colorScale>
    </cfRule>
  </conditionalFormatting>
  <conditionalFormatting sqref="K6 H6">
    <cfRule type="colorScale" priority="26">
      <colorScale>
        <cfvo type="min"/>
        <cfvo type="percentile" val="50"/>
        <cfvo type="max"/>
        <color rgb="FF63BE7B"/>
        <color rgb="FFFFEB84"/>
        <color rgb="FFF8696B"/>
      </colorScale>
    </cfRule>
  </conditionalFormatting>
  <conditionalFormatting sqref="H7:H8 K7:K8">
    <cfRule type="colorScale" priority="25">
      <colorScale>
        <cfvo type="min"/>
        <cfvo type="percentile" val="50"/>
        <cfvo type="max"/>
        <color rgb="FF63BE7B"/>
        <color rgb="FFFFEB84"/>
        <color rgb="FFF8696B"/>
      </colorScale>
    </cfRule>
  </conditionalFormatting>
  <conditionalFormatting sqref="O6">
    <cfRule type="colorScale" priority="24">
      <colorScale>
        <cfvo type="min"/>
        <cfvo type="percentile" val="50"/>
        <cfvo type="max"/>
        <color rgb="FF63BE7B"/>
        <color rgb="FFFFEB84"/>
        <color rgb="FFF8696B"/>
      </colorScale>
    </cfRule>
  </conditionalFormatting>
  <conditionalFormatting sqref="O7 N8">
    <cfRule type="colorScale" priority="23">
      <colorScale>
        <cfvo type="min"/>
        <cfvo type="percentile" val="50"/>
        <cfvo type="max"/>
        <color rgb="FF63BE7B"/>
        <color rgb="FFFFEB84"/>
        <color rgb="FFF8696B"/>
      </colorScale>
    </cfRule>
  </conditionalFormatting>
  <conditionalFormatting sqref="O5 H5 K5">
    <cfRule type="colorScale" priority="22">
      <colorScale>
        <cfvo type="min"/>
        <cfvo type="percentile" val="50"/>
        <cfvo type="max"/>
        <color rgb="FF63BE7B"/>
        <color rgb="FFFFEB84"/>
        <color rgb="FFF8696B"/>
      </colorScale>
    </cfRule>
  </conditionalFormatting>
  <conditionalFormatting sqref="O6 K6 H6">
    <cfRule type="colorScale" priority="21">
      <colorScale>
        <cfvo type="min"/>
        <cfvo type="percentile" val="50"/>
        <cfvo type="max"/>
        <color rgb="FF63BE7B"/>
        <color rgb="FFFFEB84"/>
        <color rgb="FFF8696B"/>
      </colorScale>
    </cfRule>
  </conditionalFormatting>
  <conditionalFormatting sqref="K7:K8 H7:H8 N8 O7">
    <cfRule type="colorScale" priority="20">
      <colorScale>
        <cfvo type="min"/>
        <cfvo type="percentile" val="50"/>
        <cfvo type="max"/>
        <color rgb="FF63BE7B"/>
        <color rgb="FFFFEB84"/>
        <color rgb="FFF8696B"/>
      </colorScale>
    </cfRule>
  </conditionalFormatting>
  <conditionalFormatting sqref="L5 M5:M7">
    <cfRule type="cellIs" dxfId="11" priority="19" operator="lessThan">
      <formula>0</formula>
    </cfRule>
  </conditionalFormatting>
  <conditionalFormatting sqref="P5">
    <cfRule type="cellIs" dxfId="10" priority="6" operator="lessThan">
      <formula>0</formula>
    </cfRule>
  </conditionalFormatting>
  <conditionalFormatting sqref="L7">
    <cfRule type="cellIs" dxfId="9" priority="8" operator="lessThan">
      <formula>0</formula>
    </cfRule>
  </conditionalFormatting>
  <conditionalFormatting sqref="L5">
    <cfRule type="cellIs" dxfId="8" priority="11" operator="greaterThan">
      <formula>0</formula>
    </cfRule>
  </conditionalFormatting>
  <conditionalFormatting sqref="L6">
    <cfRule type="cellIs" dxfId="7" priority="10" operator="lessThan">
      <formula>0</formula>
    </cfRule>
  </conditionalFormatting>
  <conditionalFormatting sqref="L6">
    <cfRule type="cellIs" dxfId="6" priority="9" operator="greaterThan">
      <formula>0</formula>
    </cfRule>
  </conditionalFormatting>
  <conditionalFormatting sqref="L7">
    <cfRule type="cellIs" dxfId="5" priority="7" operator="greaterThan">
      <formula>0</formula>
    </cfRule>
  </conditionalFormatting>
  <conditionalFormatting sqref="P5">
    <cfRule type="cellIs" dxfId="4" priority="5" operator="greaterThan">
      <formula>0</formula>
    </cfRule>
  </conditionalFormatting>
  <conditionalFormatting sqref="P6">
    <cfRule type="cellIs" dxfId="3" priority="4" operator="lessThan">
      <formula>0</formula>
    </cfRule>
  </conditionalFormatting>
  <conditionalFormatting sqref="P6">
    <cfRule type="cellIs" dxfId="2" priority="3" operator="greaterThan">
      <formula>0</formula>
    </cfRule>
  </conditionalFormatting>
  <conditionalFormatting sqref="P7">
    <cfRule type="cellIs" dxfId="1" priority="2" operator="lessThan">
      <formula>0</formula>
    </cfRule>
  </conditionalFormatting>
  <conditionalFormatting sqref="P7">
    <cfRule type="cellIs" dxfId="0" priority="1" operator="greaterThan">
      <formula>0</formula>
    </cfRule>
  </conditionalFormatting>
  <dataValidations count="1">
    <dataValidation type="list" allowBlank="1" showInputMessage="1" showErrorMessage="1" sqref="E5:E7 I36:I37 J44:J45 I60:I62">
      <formula1>$U$3:$U$4</formula1>
    </dataValidation>
  </dataValidations>
  <hyperlinks>
    <hyperlink ref="E1" r:id="rId1"/>
  </hyperlinks>
  <pageMargins left="0.7" right="0.7" top="0.75" bottom="0.75" header="0.3" footer="0.3"/>
  <pageSetup orientation="portrait" horizontalDpi="0" verticalDpi="0" r:id="rId2"/>
  <ignoredErrors>
    <ignoredError sqref="J24" formula="1"/>
    <ignoredError sqref="D24:D25 E21:E25"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1" r:id="rId5" name="Scroll Bar 7">
              <controlPr defaultSize="0" autoPict="0">
                <anchor moveWithCells="1">
                  <from>
                    <xdr:col>8</xdr:col>
                    <xdr:colOff>0</xdr:colOff>
                    <xdr:row>29</xdr:row>
                    <xdr:rowOff>9525</xdr:rowOff>
                  </from>
                  <to>
                    <xdr:col>9</xdr:col>
                    <xdr:colOff>638175</xdr:colOff>
                    <xdr:row>29</xdr:row>
                    <xdr:rowOff>180975</xdr:rowOff>
                  </to>
                </anchor>
              </controlPr>
            </control>
          </mc:Choice>
        </mc:AlternateContent>
        <mc:AlternateContent xmlns:mc="http://schemas.openxmlformats.org/markup-compatibility/2006">
          <mc:Choice Requires="x14">
            <control shapeId="1032" r:id="rId6" name="Scroll Bar 8">
              <controlPr defaultSize="0" autoPict="0">
                <anchor moveWithCells="1">
                  <from>
                    <xdr:col>8</xdr:col>
                    <xdr:colOff>9525</xdr:colOff>
                    <xdr:row>30</xdr:row>
                    <xdr:rowOff>19050</xdr:rowOff>
                  </from>
                  <to>
                    <xdr:col>9</xdr:col>
                    <xdr:colOff>666750</xdr:colOff>
                    <xdr:row>30</xdr:row>
                    <xdr:rowOff>180975</xdr:rowOff>
                  </to>
                </anchor>
              </controlPr>
            </control>
          </mc:Choice>
        </mc:AlternateContent>
        <mc:AlternateContent xmlns:mc="http://schemas.openxmlformats.org/markup-compatibility/2006">
          <mc:Choice Requires="x14">
            <control shapeId="1033" r:id="rId7" name="Scroll Bar 9">
              <controlPr defaultSize="0" autoPict="0">
                <anchor moveWithCells="1">
                  <from>
                    <xdr:col>8</xdr:col>
                    <xdr:colOff>0</xdr:colOff>
                    <xdr:row>31</xdr:row>
                    <xdr:rowOff>19050</xdr:rowOff>
                  </from>
                  <to>
                    <xdr:col>9</xdr:col>
                    <xdr:colOff>666750</xdr:colOff>
                    <xdr:row>31</xdr:row>
                    <xdr:rowOff>180975</xdr:rowOff>
                  </to>
                </anchor>
              </controlPr>
            </control>
          </mc:Choice>
        </mc:AlternateContent>
        <mc:AlternateContent xmlns:mc="http://schemas.openxmlformats.org/markup-compatibility/2006">
          <mc:Choice Requires="x14">
            <control shapeId="1037" r:id="rId8" name="Scroll Bar 13">
              <controlPr defaultSize="0" autoPict="0">
                <anchor moveWithCells="1">
                  <from>
                    <xdr:col>8</xdr:col>
                    <xdr:colOff>0</xdr:colOff>
                    <xdr:row>54</xdr:row>
                    <xdr:rowOff>9525</xdr:rowOff>
                  </from>
                  <to>
                    <xdr:col>9</xdr:col>
                    <xdr:colOff>638175</xdr:colOff>
                    <xdr:row>54</xdr:row>
                    <xdr:rowOff>180975</xdr:rowOff>
                  </to>
                </anchor>
              </controlPr>
            </control>
          </mc:Choice>
        </mc:AlternateContent>
        <mc:AlternateContent xmlns:mc="http://schemas.openxmlformats.org/markup-compatibility/2006">
          <mc:Choice Requires="x14">
            <control shapeId="1038" r:id="rId9" name="Scroll Bar 14">
              <controlPr defaultSize="0" autoPict="0">
                <anchor moveWithCells="1">
                  <from>
                    <xdr:col>8</xdr:col>
                    <xdr:colOff>0</xdr:colOff>
                    <xdr:row>55</xdr:row>
                    <xdr:rowOff>9525</xdr:rowOff>
                  </from>
                  <to>
                    <xdr:col>9</xdr:col>
                    <xdr:colOff>638175</xdr:colOff>
                    <xdr:row>55</xdr:row>
                    <xdr:rowOff>180975</xdr:rowOff>
                  </to>
                </anchor>
              </controlPr>
            </control>
          </mc:Choice>
        </mc:AlternateContent>
        <mc:AlternateContent xmlns:mc="http://schemas.openxmlformats.org/markup-compatibility/2006">
          <mc:Choice Requires="x14">
            <control shapeId="1039" r:id="rId10" name="Scroll Bar 15">
              <controlPr defaultSize="0" autoPict="0">
                <anchor moveWithCells="1">
                  <from>
                    <xdr:col>8</xdr:col>
                    <xdr:colOff>0</xdr:colOff>
                    <xdr:row>56</xdr:row>
                    <xdr:rowOff>9525</xdr:rowOff>
                  </from>
                  <to>
                    <xdr:col>9</xdr:col>
                    <xdr:colOff>638175</xdr:colOff>
                    <xdr:row>56</xdr:row>
                    <xdr:rowOff>180975</xdr:rowOff>
                  </to>
                </anchor>
              </controlPr>
            </control>
          </mc:Choice>
        </mc:AlternateContent>
        <mc:AlternateContent xmlns:mc="http://schemas.openxmlformats.org/markup-compatibility/2006">
          <mc:Choice Requires="x14">
            <control shapeId="1041" r:id="rId11" name="Scroll Bar 17">
              <controlPr locked="0" defaultSize="0" autoPict="0">
                <anchor moveWithCells="1">
                  <from>
                    <xdr:col>14</xdr:col>
                    <xdr:colOff>0</xdr:colOff>
                    <xdr:row>54</xdr:row>
                    <xdr:rowOff>28575</xdr:rowOff>
                  </from>
                  <to>
                    <xdr:col>15</xdr:col>
                    <xdr:colOff>638175</xdr:colOff>
                    <xdr:row>55</xdr:row>
                    <xdr:rowOff>19050</xdr:rowOff>
                  </to>
                </anchor>
              </controlPr>
            </control>
          </mc:Choice>
        </mc:AlternateContent>
        <mc:AlternateContent xmlns:mc="http://schemas.openxmlformats.org/markup-compatibility/2006">
          <mc:Choice Requires="x14">
            <control shapeId="1042" r:id="rId12" name="Scroll Bar 18">
              <controlPr locked="0" defaultSize="0" autoPict="0">
                <anchor moveWithCells="1">
                  <from>
                    <xdr:col>14</xdr:col>
                    <xdr:colOff>0</xdr:colOff>
                    <xdr:row>55</xdr:row>
                    <xdr:rowOff>9525</xdr:rowOff>
                  </from>
                  <to>
                    <xdr:col>15</xdr:col>
                    <xdr:colOff>638175</xdr:colOff>
                    <xdr:row>55</xdr:row>
                    <xdr:rowOff>180975</xdr:rowOff>
                  </to>
                </anchor>
              </controlPr>
            </control>
          </mc:Choice>
        </mc:AlternateContent>
        <mc:AlternateContent xmlns:mc="http://schemas.openxmlformats.org/markup-compatibility/2006">
          <mc:Choice Requires="x14">
            <control shapeId="1043" r:id="rId13" name="Scroll Bar 19">
              <controlPr defaultSize="0" autoPict="0">
                <anchor moveWithCells="1">
                  <from>
                    <xdr:col>14</xdr:col>
                    <xdr:colOff>0</xdr:colOff>
                    <xdr:row>56</xdr:row>
                    <xdr:rowOff>9525</xdr:rowOff>
                  </from>
                  <to>
                    <xdr:col>15</xdr:col>
                    <xdr:colOff>638175</xdr:colOff>
                    <xdr:row>56</xdr:row>
                    <xdr:rowOff>180975</xdr:rowOff>
                  </to>
                </anchor>
              </controlPr>
            </control>
          </mc:Choice>
        </mc:AlternateContent>
        <mc:AlternateContent xmlns:mc="http://schemas.openxmlformats.org/markup-compatibility/2006">
          <mc:Choice Requires="x14">
            <control shapeId="1045" r:id="rId14" name="Scroll Bar 21">
              <controlPr defaultSize="0" autoPict="0">
                <anchor moveWithCells="1">
                  <from>
                    <xdr:col>14</xdr:col>
                    <xdr:colOff>0</xdr:colOff>
                    <xdr:row>59</xdr:row>
                    <xdr:rowOff>9525</xdr:rowOff>
                  </from>
                  <to>
                    <xdr:col>15</xdr:col>
                    <xdr:colOff>638175</xdr:colOff>
                    <xdr:row>59</xdr:row>
                    <xdr:rowOff>180975</xdr:rowOff>
                  </to>
                </anchor>
              </controlPr>
            </control>
          </mc:Choice>
        </mc:AlternateContent>
        <mc:AlternateContent xmlns:mc="http://schemas.openxmlformats.org/markup-compatibility/2006">
          <mc:Choice Requires="x14">
            <control shapeId="1046" r:id="rId15" name="Scroll Bar 22">
              <controlPr defaultSize="0" autoPict="0">
                <anchor moveWithCells="1">
                  <from>
                    <xdr:col>14</xdr:col>
                    <xdr:colOff>0</xdr:colOff>
                    <xdr:row>60</xdr:row>
                    <xdr:rowOff>9525</xdr:rowOff>
                  </from>
                  <to>
                    <xdr:col>15</xdr:col>
                    <xdr:colOff>638175</xdr:colOff>
                    <xdr:row>60</xdr:row>
                    <xdr:rowOff>180975</xdr:rowOff>
                  </to>
                </anchor>
              </controlPr>
            </control>
          </mc:Choice>
        </mc:AlternateContent>
        <mc:AlternateContent xmlns:mc="http://schemas.openxmlformats.org/markup-compatibility/2006">
          <mc:Choice Requires="x14">
            <control shapeId="1047" r:id="rId16" name="Scroll Bar 23">
              <controlPr defaultSize="0" autoPict="0">
                <anchor moveWithCells="1">
                  <from>
                    <xdr:col>14</xdr:col>
                    <xdr:colOff>0</xdr:colOff>
                    <xdr:row>61</xdr:row>
                    <xdr:rowOff>9525</xdr:rowOff>
                  </from>
                  <to>
                    <xdr:col>15</xdr:col>
                    <xdr:colOff>638175</xdr:colOff>
                    <xdr:row>61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UCaaS Comparison 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Parker</dc:creator>
  <cp:lastModifiedBy>Elizabeth Parker</cp:lastModifiedBy>
  <dcterms:created xsi:type="dcterms:W3CDTF">2018-01-12T17:26:13Z</dcterms:created>
  <dcterms:modified xsi:type="dcterms:W3CDTF">2018-03-10T20:04:17Z</dcterms:modified>
</cp:coreProperties>
</file>